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3\Documents\New Papers\Sameh Aneurysm CT Scan\Submission\"/>
    </mc:Choice>
  </mc:AlternateContent>
  <bookViews>
    <workbookView xWindow="0" yWindow="0" windowWidth="21600" windowHeight="9525" activeTab="1"/>
  </bookViews>
  <sheets>
    <sheet name="Calculator Notes" sheetId="7" r:id="rId1"/>
    <sheet name="Ascending for Individuals" sheetId="10" r:id="rId2"/>
    <sheet name="Descending for Individuals" sheetId="11" r:id="rId3"/>
    <sheet name="Ascending for Databases" sheetId="8" r:id="rId4"/>
    <sheet name="Descending for Databases" sheetId="9" r:id="rId5"/>
  </sheets>
  <calcPr calcId="171027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X2" i="9" l="1"/>
  <c r="AL2" i="9"/>
  <c r="Y2" i="9"/>
  <c r="AX2" i="11"/>
  <c r="AL2" i="11"/>
  <c r="Y2" i="11"/>
  <c r="AK2" i="8"/>
  <c r="Y2" i="8"/>
  <c r="AK2" i="10"/>
  <c r="Y2" i="10"/>
  <c r="I2" i="11"/>
  <c r="H2" i="11"/>
  <c r="G2" i="11"/>
  <c r="F2" i="11"/>
  <c r="E2" i="11"/>
  <c r="D2" i="11"/>
  <c r="C2" i="11"/>
  <c r="B2" i="11"/>
  <c r="J2" i="11"/>
  <c r="M2" i="11"/>
  <c r="K2" i="11"/>
  <c r="L2" i="11"/>
  <c r="BF2" i="11"/>
  <c r="N2" i="11"/>
  <c r="O2" i="11"/>
  <c r="P2" i="11"/>
  <c r="Q2" i="11"/>
  <c r="R2" i="11"/>
  <c r="S2" i="11"/>
  <c r="T2" i="11"/>
  <c r="U2" i="11"/>
  <c r="BG2" i="11"/>
  <c r="V2" i="11"/>
  <c r="W2" i="11"/>
  <c r="X2" i="11"/>
  <c r="Z2" i="11"/>
  <c r="AA2" i="11"/>
  <c r="AB2" i="11"/>
  <c r="AC2" i="11"/>
  <c r="AD2" i="11"/>
  <c r="AE2" i="11"/>
  <c r="AF2" i="11"/>
  <c r="AG2" i="11"/>
  <c r="AH2" i="11"/>
  <c r="AI2" i="11"/>
  <c r="AJ2" i="11"/>
  <c r="AK2" i="11"/>
  <c r="AM2" i="11"/>
  <c r="AN2" i="11"/>
  <c r="AO2" i="11"/>
  <c r="AP2" i="11"/>
  <c r="AQ2" i="11"/>
  <c r="AR2" i="11"/>
  <c r="AS2" i="11"/>
  <c r="AT2" i="11"/>
  <c r="AU2" i="11"/>
  <c r="AV2" i="11"/>
  <c r="AW2" i="11"/>
  <c r="AY2" i="11"/>
  <c r="AZ2" i="11"/>
  <c r="BA2" i="11"/>
  <c r="BB2" i="11"/>
  <c r="BC2" i="11"/>
  <c r="BD2" i="11"/>
  <c r="BE2" i="11"/>
  <c r="BJ2" i="11"/>
  <c r="H11" i="11"/>
  <c r="BI2" i="11"/>
  <c r="F11" i="11"/>
  <c r="BH2" i="11"/>
  <c r="D11" i="11"/>
  <c r="C11" i="11"/>
  <c r="B11" i="11"/>
  <c r="B2" i="10"/>
  <c r="C2" i="10"/>
  <c r="M2" i="10"/>
  <c r="D2" i="10"/>
  <c r="K2" i="10"/>
  <c r="F2" i="10"/>
  <c r="L2" i="10"/>
  <c r="BF2" i="10"/>
  <c r="N2" i="10"/>
  <c r="O2" i="10"/>
  <c r="P2" i="10"/>
  <c r="Q2" i="10"/>
  <c r="R2" i="10"/>
  <c r="S2" i="10"/>
  <c r="T2" i="10"/>
  <c r="U2" i="10"/>
  <c r="BG2" i="10"/>
  <c r="V2" i="10"/>
  <c r="W2" i="10"/>
  <c r="X2" i="10"/>
  <c r="Z2" i="10"/>
  <c r="AA2" i="10"/>
  <c r="AB2" i="10"/>
  <c r="AC2" i="10"/>
  <c r="AD2" i="10"/>
  <c r="AE2" i="10"/>
  <c r="AF2" i="10"/>
  <c r="AG2" i="10"/>
  <c r="AH2" i="10"/>
  <c r="AI2" i="10"/>
  <c r="AJ2" i="10"/>
  <c r="AL2" i="10"/>
  <c r="AM2" i="10"/>
  <c r="AN2" i="10"/>
  <c r="AO2" i="10"/>
  <c r="AP2" i="10"/>
  <c r="AQ2" i="10"/>
  <c r="AR2" i="10"/>
  <c r="AS2" i="10"/>
  <c r="AT2" i="10"/>
  <c r="AU2" i="10"/>
  <c r="AV2" i="10"/>
  <c r="AW2" i="10"/>
  <c r="AX2" i="10"/>
  <c r="AY2" i="10"/>
  <c r="AZ2" i="10"/>
  <c r="BA2" i="10"/>
  <c r="BB2" i="10"/>
  <c r="H2" i="10"/>
  <c r="J2" i="10"/>
  <c r="BC2" i="10"/>
  <c r="BD2" i="10"/>
  <c r="BE2" i="10"/>
  <c r="BJ2" i="10"/>
  <c r="H11" i="10"/>
  <c r="BI2" i="10"/>
  <c r="F11" i="10"/>
  <c r="BH2" i="10"/>
  <c r="D11" i="10"/>
  <c r="C11" i="10"/>
  <c r="B11" i="10"/>
  <c r="I2" i="10"/>
  <c r="G2" i="10"/>
  <c r="E2" i="10"/>
  <c r="M2" i="9"/>
  <c r="K2" i="9"/>
  <c r="L2" i="9"/>
  <c r="BF2" i="9"/>
  <c r="BA2" i="9"/>
  <c r="AZ2" i="9"/>
  <c r="AY2" i="9"/>
  <c r="AW2" i="9"/>
  <c r="AV2" i="9"/>
  <c r="AU2" i="9"/>
  <c r="AT2" i="9"/>
  <c r="AS2" i="9"/>
  <c r="AR2" i="9"/>
  <c r="AQ2" i="9"/>
  <c r="AP2" i="9"/>
  <c r="AO2" i="9"/>
  <c r="AN2" i="9"/>
  <c r="AM2" i="9"/>
  <c r="AK2" i="9"/>
  <c r="AJ2" i="9"/>
  <c r="AI2" i="9"/>
  <c r="AH2" i="9"/>
  <c r="AG2" i="9"/>
  <c r="AF2" i="9"/>
  <c r="AE2" i="9"/>
  <c r="AD2" i="9"/>
  <c r="AC2" i="9"/>
  <c r="AB2" i="9"/>
  <c r="AA2" i="9"/>
  <c r="Z2" i="9"/>
  <c r="X2" i="9"/>
  <c r="W2" i="9"/>
  <c r="V2" i="9"/>
  <c r="J2" i="9"/>
  <c r="N2" i="9"/>
  <c r="O2" i="9"/>
  <c r="P2" i="9"/>
  <c r="Q2" i="9"/>
  <c r="R2" i="9"/>
  <c r="S2" i="9"/>
  <c r="T2" i="9"/>
  <c r="U2" i="9"/>
  <c r="BG2" i="9"/>
  <c r="BB2" i="9"/>
  <c r="BC2" i="9"/>
  <c r="BD2" i="9"/>
  <c r="BE2" i="9"/>
  <c r="BJ2" i="9"/>
  <c r="M2" i="8"/>
  <c r="K2" i="8"/>
  <c r="L2" i="8"/>
  <c r="BF2" i="8"/>
  <c r="N2" i="8"/>
  <c r="O2" i="8"/>
  <c r="P2" i="8"/>
  <c r="Q2" i="8"/>
  <c r="R2" i="8"/>
  <c r="S2" i="8"/>
  <c r="T2" i="8"/>
  <c r="U2" i="8"/>
  <c r="BG2" i="8"/>
  <c r="V2" i="8"/>
  <c r="W2" i="8"/>
  <c r="X2" i="8"/>
  <c r="Z2" i="8"/>
  <c r="AA2" i="8"/>
  <c r="AB2" i="8"/>
  <c r="AC2" i="8"/>
  <c r="AD2" i="8"/>
  <c r="AE2" i="8"/>
  <c r="AF2" i="8"/>
  <c r="AG2" i="8"/>
  <c r="AH2" i="8"/>
  <c r="AI2" i="8"/>
  <c r="AJ2" i="8"/>
  <c r="AL2" i="8"/>
  <c r="AM2" i="8"/>
  <c r="AN2" i="8"/>
  <c r="AO2" i="8"/>
  <c r="AP2" i="8"/>
  <c r="AQ2" i="8"/>
  <c r="AR2" i="8"/>
  <c r="AS2" i="8"/>
  <c r="AT2" i="8"/>
  <c r="AU2" i="8"/>
  <c r="AV2" i="8"/>
  <c r="AW2" i="8"/>
  <c r="AX2" i="8"/>
  <c r="AY2" i="8"/>
  <c r="AZ2" i="8"/>
  <c r="BA2" i="8"/>
  <c r="BB2" i="8"/>
  <c r="J2" i="8"/>
  <c r="BC2" i="8"/>
  <c r="BD2" i="8"/>
  <c r="BE2" i="8"/>
  <c r="BJ2" i="8"/>
  <c r="BH2" i="9"/>
  <c r="BI2" i="8"/>
  <c r="BH2" i="8"/>
  <c r="BI2" i="9"/>
</calcChain>
</file>

<file path=xl/sharedStrings.xml><?xml version="1.0" encoding="utf-8"?>
<sst xmlns="http://schemas.openxmlformats.org/spreadsheetml/2006/main" count="576" uniqueCount="205">
  <si>
    <t>Female</t>
  </si>
  <si>
    <t>Male</t>
  </si>
  <si>
    <t>Age</t>
  </si>
  <si>
    <t>&lt;45</t>
  </si>
  <si>
    <t>45-54</t>
  </si>
  <si>
    <t>55-64</t>
  </si>
  <si>
    <t>Mean</t>
  </si>
  <si>
    <t>SD</t>
  </si>
  <si>
    <t>Aneurysm</t>
  </si>
  <si>
    <t>Weight (kg)</t>
  </si>
  <si>
    <t>Height (cm)</t>
  </si>
  <si>
    <t>Age (yr)</t>
  </si>
  <si>
    <t>Z-score</t>
  </si>
  <si>
    <t>Aortic size assessment by noncontrast cardiac computed tomography: normal limits by age, gender, and body surface area.</t>
  </si>
  <si>
    <t xml:space="preserve">Wolak A, Gransar H, Thomson LE, Friedman JD, Hachamovitch R, Gutstein A, Shaw LJ, Polk D, Wong ND, Saouaf R, Hayes SW, Rozanski A, Slomka PJ, Germano G, Berman DS. </t>
  </si>
  <si>
    <t>Sex</t>
  </si>
  <si>
    <t>y=4.0*BSA+22.3</t>
  </si>
  <si>
    <t>y=7.0*BSA+18.7</t>
  </si>
  <si>
    <t>y=3.9*BSA+26.3</t>
  </si>
  <si>
    <t>y=5.34*BSA+22.7</t>
  </si>
  <si>
    <t>y=5.7*BSA+19.6</t>
  </si>
  <si>
    <t>y=5.7*BSA+21.6</t>
  </si>
  <si>
    <t>y=6.6*BSA+21.3</t>
  </si>
  <si>
    <t>y=4.3*BSA+27.1</t>
  </si>
  <si>
    <t>Subject ID</t>
  </si>
  <si>
    <t>Actual Diameter Ascending Aorta (mm)</t>
  </si>
  <si>
    <t>Assessment</t>
  </si>
  <si>
    <t>Hypoplastic</t>
  </si>
  <si>
    <r>
      <t xml:space="preserve">Height (in) </t>
    </r>
    <r>
      <rPr>
        <b/>
        <sz val="11"/>
        <color rgb="FFFF0000"/>
        <rFont val="Arial"/>
        <family val="2"/>
      </rPr>
      <t>or</t>
    </r>
  </si>
  <si>
    <r>
      <t xml:space="preserve">Weight (lb) </t>
    </r>
    <r>
      <rPr>
        <b/>
        <sz val="11"/>
        <color rgb="FFFF0000"/>
        <rFont val="Arial"/>
        <family val="2"/>
      </rPr>
      <t>or</t>
    </r>
  </si>
  <si>
    <r>
      <t xml:space="preserve">Sex (M/F </t>
    </r>
    <r>
      <rPr>
        <b/>
        <sz val="11"/>
        <color rgb="FFFF0000"/>
        <rFont val="Arial"/>
        <family val="2"/>
      </rPr>
      <t>or</t>
    </r>
    <r>
      <rPr>
        <b/>
        <sz val="11"/>
        <color theme="1"/>
        <rFont val="Arial"/>
        <family val="2"/>
      </rPr>
      <t xml:space="preserve"> Male/Female)</t>
    </r>
  </si>
  <si>
    <t>Instructions</t>
  </si>
  <si>
    <r>
      <t>Diameter (cm)</t>
    </r>
    <r>
      <rPr>
        <b/>
        <sz val="11"/>
        <color rgb="FFFF0000"/>
        <rFont val="Arial"/>
        <family val="2"/>
      </rPr>
      <t xml:space="preserve"> or</t>
    </r>
  </si>
  <si>
    <t>Diameter (mm)</t>
  </si>
  <si>
    <t>BSA calculation based on:</t>
  </si>
  <si>
    <t xml:space="preserve">A formula to estimate the approximate surface area if height and weight be known. </t>
  </si>
  <si>
    <t xml:space="preserve">Du Bois D, Du Bois EF. </t>
  </si>
  <si>
    <r>
      <t>BSA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</si>
  <si>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Research Project - Theodore Tellides (Hopkins High School, visiting student at Yale University, August 2018)</t>
  </si>
  <si>
    <t>1) Enter or paste data into first 9 columns (subject ID is optional, use either M/F or Male/Female, either inches or cm, either lb or kg, and either cm or mm)</t>
  </si>
  <si>
    <t>Ectasia</t>
  </si>
  <si>
    <t>Actual Diameter Descending Aorta (mm)</t>
  </si>
  <si>
    <t>Overall mean+/-SD is 33+/-4 mm for ascending and 24+/-3 mm for descending thoracic aorta (upper limits 41 and 30 mm, respectively)</t>
  </si>
  <si>
    <t>Aorta definitions</t>
  </si>
  <si>
    <t xml:space="preserve">Johnston KW, Rutherford RB, Tilson MD, Shah DM, Hollier L, Stanley JC. </t>
  </si>
  <si>
    <t>J Vasc Surg. 1991;13:452-8.</t>
  </si>
  <si>
    <t xml:space="preserve">Hiratzka LF, Bakris GL, Beckman JA, Bersin RM, Carr VF, Casey DE Jr, Eagle KA, Hermann LK, Isselbacher EM, Kazerooni EA, et al. </t>
  </si>
  <si>
    <r>
      <rPr>
        <i/>
        <sz val="12"/>
        <color rgb="FF000000"/>
        <rFont val="Arial"/>
        <family val="2"/>
      </rPr>
      <t>Circulation.</t>
    </r>
    <r>
      <rPr>
        <sz val="12"/>
        <color rgb="FF000000"/>
        <rFont val="Arial"/>
        <family val="2"/>
      </rPr>
      <t xml:space="preserve"> 2010;121:e266-369.</t>
    </r>
  </si>
  <si>
    <r>
      <rPr>
        <i/>
        <sz val="12"/>
        <color theme="1"/>
        <rFont val="Arial"/>
        <family val="2"/>
      </rPr>
      <t xml:space="preserve"> JACC Cardiovasc Imaging</t>
    </r>
    <r>
      <rPr>
        <sz val="12"/>
        <color theme="1"/>
        <rFont val="Arial"/>
        <family val="2"/>
      </rPr>
      <t>. 2008;1:200-209. </t>
    </r>
  </si>
  <si>
    <r>
      <rPr>
        <i/>
        <sz val="12"/>
        <color theme="1"/>
        <rFont val="Arial"/>
        <family val="2"/>
      </rPr>
      <t>Arch Intern Medicine</t>
    </r>
    <r>
      <rPr>
        <sz val="12"/>
        <color theme="1"/>
        <rFont val="Arial"/>
        <family val="2"/>
      </rPr>
      <t>. 1916;17:863-871.</t>
    </r>
  </si>
  <si>
    <t>McComb BL, Munden RF, Duan F, Jain AA, Tuite C, Chiles C.</t>
  </si>
  <si>
    <t>Normative reference values of thoracic aortic diameter in American College of Radiology Imaging Network (ACRIN 6654) arm of National Lung Screening Trial.</t>
  </si>
  <si>
    <r>
      <rPr>
        <i/>
        <sz val="12"/>
        <color theme="1"/>
        <rFont val="Arial"/>
        <family val="2"/>
      </rPr>
      <t>Clin Imaging</t>
    </r>
    <r>
      <rPr>
        <sz val="12"/>
        <color theme="1"/>
        <rFont val="Arial"/>
        <family val="2"/>
      </rPr>
      <t>. 2016;40:936-43.</t>
    </r>
  </si>
  <si>
    <t>2010 ACCF/AHA/AATS/ACR/ASA/SCA/SCAI/SIR/­STS/SVM guidelines for the diagnosis and management of patients with Thoracic Aortic Disease.</t>
  </si>
  <si>
    <t>Suggested standards for reporting on arterial aneurysms.</t>
  </si>
  <si>
    <r>
      <t>SD Female &lt;45yr &lt;1.70m</t>
    </r>
    <r>
      <rPr>
        <b/>
        <vertAlign val="superscript"/>
        <sz val="11"/>
        <color theme="1"/>
        <rFont val="Arial"/>
        <family val="2"/>
      </rPr>
      <t>2</t>
    </r>
  </si>
  <si>
    <r>
      <t>SD Female &lt;45yr 1.90-2.09m</t>
    </r>
    <r>
      <rPr>
        <b/>
        <vertAlign val="superscript"/>
        <sz val="11"/>
        <color theme="1"/>
        <rFont val="Arial"/>
        <family val="2"/>
      </rPr>
      <t>2</t>
    </r>
  </si>
  <si>
    <r>
      <t>SD Female &lt;45yr 1.70-1.89m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</si>
  <si>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SD Female &lt;45yr </t>
    </r>
    <r>
      <rPr>
        <b/>
        <sz val="11"/>
        <color theme="1"/>
        <rFont val="Calibri"/>
        <family val="2"/>
      </rPr>
      <t>≥2.10m</t>
    </r>
    <r>
      <rPr>
        <b/>
        <vertAlign val="superscript"/>
        <sz val="11"/>
        <color theme="1"/>
        <rFont val="Calibri"/>
        <family val="2"/>
      </rPr>
      <t>2</t>
    </r>
  </si>
  <si>
    <r>
      <t>SD Female 45-54yr &lt;1.70m</t>
    </r>
    <r>
      <rPr>
        <b/>
        <vertAlign val="superscript"/>
        <sz val="11"/>
        <color theme="1"/>
        <rFont val="Arial"/>
        <family val="2"/>
      </rPr>
      <t>2</t>
    </r>
  </si>
  <si>
    <r>
      <t>SD Female 45-54yr 1.70-1.89m</t>
    </r>
    <r>
      <rPr>
        <b/>
        <vertAlign val="superscript"/>
        <sz val="11"/>
        <color theme="1"/>
        <rFont val="Arial"/>
        <family val="2"/>
      </rPr>
      <t>2</t>
    </r>
  </si>
  <si>
    <r>
      <t>SD Female 45-54yr 1.90-2.09m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</si>
  <si>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SD Female 45-54yr </t>
    </r>
    <r>
      <rPr>
        <b/>
        <sz val="11"/>
        <color theme="1"/>
        <rFont val="Calibri"/>
        <family val="2"/>
      </rPr>
      <t>≥2.10m</t>
    </r>
    <r>
      <rPr>
        <b/>
        <vertAlign val="superscript"/>
        <sz val="11"/>
        <color theme="1"/>
        <rFont val="Calibri"/>
        <family val="2"/>
      </rPr>
      <t>2</t>
    </r>
  </si>
  <si>
    <r>
      <t>SD Female 55-64yr &lt;1.70m</t>
    </r>
    <r>
      <rPr>
        <b/>
        <vertAlign val="superscript"/>
        <sz val="11"/>
        <color theme="1"/>
        <rFont val="Arial"/>
        <family val="2"/>
      </rPr>
      <t>2</t>
    </r>
  </si>
  <si>
    <r>
      <t>SD Female 55-64yr 1.70-1.89m</t>
    </r>
    <r>
      <rPr>
        <b/>
        <vertAlign val="superscript"/>
        <sz val="11"/>
        <color theme="1"/>
        <rFont val="Arial"/>
        <family val="2"/>
      </rPr>
      <t>2</t>
    </r>
  </si>
  <si>
    <r>
      <t>SD Female 55-64yr 1.90-2.09m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</si>
  <si>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SD Female 55-64yr </t>
    </r>
    <r>
      <rPr>
        <b/>
        <sz val="11"/>
        <color theme="1"/>
        <rFont val="Calibri"/>
        <family val="2"/>
      </rPr>
      <t>≥2.10m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</si>
  <si>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SD Female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65yr &lt;1.70m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</si>
  <si>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SD Female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65yr 1.70-1.89m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</si>
  <si>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SD Female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65yr 1.90-2.09m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</si>
  <si>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SD Female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Arial"/>
        <family val="2"/>
      </rPr>
      <t xml:space="preserve">65yr </t>
    </r>
    <r>
      <rPr>
        <b/>
        <sz val="11"/>
        <color theme="1"/>
        <rFont val="Calibri"/>
        <family val="2"/>
      </rPr>
      <t>≥2.10m</t>
    </r>
    <r>
      <rPr>
        <b/>
        <vertAlign val="superscript"/>
        <sz val="11"/>
        <color theme="1"/>
        <rFont val="Calibri"/>
        <family val="2"/>
      </rPr>
      <t>2</t>
    </r>
  </si>
  <si>
    <r>
      <t>SD Male &lt;45yr &lt;1.70m</t>
    </r>
    <r>
      <rPr>
        <b/>
        <vertAlign val="superscript"/>
        <sz val="11"/>
        <color theme="1"/>
        <rFont val="Arial"/>
        <family val="2"/>
      </rPr>
      <t>2</t>
    </r>
  </si>
  <si>
    <r>
      <t>SD Male &lt;45yr 1.70-1.89m</t>
    </r>
    <r>
      <rPr>
        <b/>
        <vertAlign val="superscript"/>
        <sz val="11"/>
        <color theme="1"/>
        <rFont val="Arial"/>
        <family val="2"/>
      </rPr>
      <t>2</t>
    </r>
  </si>
  <si>
    <r>
      <t>SD Male &lt;45yr 1.90-2.09m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</si>
  <si>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SD Male &lt;45yr </t>
    </r>
    <r>
      <rPr>
        <b/>
        <sz val="11"/>
        <color theme="1"/>
        <rFont val="Calibri"/>
        <family val="2"/>
      </rPr>
      <t>≥2.10m</t>
    </r>
    <r>
      <rPr>
        <b/>
        <vertAlign val="superscript"/>
        <sz val="11"/>
        <color theme="1"/>
        <rFont val="Calibri"/>
        <family val="2"/>
      </rPr>
      <t>2</t>
    </r>
  </si>
  <si>
    <r>
      <t>SD Male 45-54yr &lt;1.70m</t>
    </r>
    <r>
      <rPr>
        <b/>
        <vertAlign val="superscript"/>
        <sz val="11"/>
        <color theme="1"/>
        <rFont val="Arial"/>
        <family val="2"/>
      </rPr>
      <t>2</t>
    </r>
  </si>
  <si>
    <r>
      <t>SD Male 45-54yr 1.70-1.89m</t>
    </r>
    <r>
      <rPr>
        <b/>
        <vertAlign val="superscript"/>
        <sz val="11"/>
        <color theme="1"/>
        <rFont val="Arial"/>
        <family val="2"/>
      </rPr>
      <t>2</t>
    </r>
  </si>
  <si>
    <r>
      <t>SD Male 45-54yr 1.90-2.09m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</si>
  <si>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SD Male 45-54yr </t>
    </r>
    <r>
      <rPr>
        <b/>
        <sz val="11"/>
        <color theme="1"/>
        <rFont val="Calibri"/>
        <family val="2"/>
      </rPr>
      <t>≥2.10m</t>
    </r>
    <r>
      <rPr>
        <b/>
        <vertAlign val="superscript"/>
        <sz val="11"/>
        <color theme="1"/>
        <rFont val="Calibri"/>
        <family val="2"/>
      </rPr>
      <t>2</t>
    </r>
  </si>
  <si>
    <r>
      <t>SD Male 55-64yr &lt;1.70m</t>
    </r>
    <r>
      <rPr>
        <b/>
        <vertAlign val="superscript"/>
        <sz val="11"/>
        <color theme="1"/>
        <rFont val="Arial"/>
        <family val="2"/>
      </rPr>
      <t>2</t>
    </r>
  </si>
  <si>
    <r>
      <t>SD Male 55-64yr 1.70-1.89m</t>
    </r>
    <r>
      <rPr>
        <b/>
        <vertAlign val="superscript"/>
        <sz val="11"/>
        <color theme="1"/>
        <rFont val="Arial"/>
        <family val="2"/>
      </rPr>
      <t>2</t>
    </r>
  </si>
  <si>
    <r>
      <t>SD Male 55-64yr 1.90-2.09m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</si>
  <si>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Male 55-64yr </t>
    </r>
    <r>
      <rPr>
        <b/>
        <sz val="11"/>
        <color theme="1"/>
        <rFont val="Calibri"/>
        <family val="2"/>
      </rPr>
      <t>≥2.10m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</si>
  <si>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SD Male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65yr &lt;1.70m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</si>
  <si>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SD Male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65yr 1.70-1.89m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</si>
  <si>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SD Male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65yr 1.90-2.09m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</si>
  <si>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SD Male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Arial"/>
        <family val="2"/>
      </rPr>
      <t xml:space="preserve">65yr </t>
    </r>
    <r>
      <rPr>
        <b/>
        <sz val="11"/>
        <color theme="1"/>
        <rFont val="Calibri"/>
        <family val="2"/>
      </rPr>
      <t>≥2.10m</t>
    </r>
    <r>
      <rPr>
        <b/>
        <vertAlign val="superscript"/>
        <sz val="11"/>
        <color theme="1"/>
        <rFont val="Calibri"/>
        <family val="2"/>
      </rPr>
      <t>2</t>
    </r>
  </si>
  <si>
    <t>Fold-Increase over Expected Normal Diameter</t>
  </si>
  <si>
    <t>Expected Normal Diameter of Ascending Aorta (mm)</t>
  </si>
  <si>
    <t>Aorta measured by CT scan in 4,039 asymptomatic, low-risk adult subjects. Excluded outliers and those with hypertension, diabetes, and/or smoking.</t>
  </si>
  <si>
    <t>BSA</t>
  </si>
  <si>
    <r>
      <rPr>
        <sz val="12"/>
        <color theme="1"/>
        <rFont val="Calibri"/>
        <family val="2"/>
      </rPr>
      <t>≥</t>
    </r>
    <r>
      <rPr>
        <sz val="12"/>
        <color theme="1"/>
        <rFont val="Arial"/>
        <family val="2"/>
      </rPr>
      <t>65</t>
    </r>
  </si>
  <si>
    <t>&lt;1.70</t>
  </si>
  <si>
    <t>1.70-1.89</t>
  </si>
  <si>
    <t>1.90-2.09</t>
  </si>
  <si>
    <r>
      <rPr>
        <sz val="12"/>
        <color theme="1"/>
        <rFont val="Calibri"/>
        <family val="2"/>
      </rPr>
      <t>≥</t>
    </r>
    <r>
      <rPr>
        <sz val="12"/>
        <color theme="1"/>
        <rFont val="Arial"/>
        <family val="2"/>
      </rPr>
      <t>2.10</t>
    </r>
  </si>
  <si>
    <t>3) Calculator uses expected aortic diameter from sex-, age- and BSA-stratified nomograms and SD from sex-, age- and BSA-stratified table (see Notes Worksheet)</t>
  </si>
  <si>
    <t>4) The condensed yellow columns from J to BE are for conversion and coding purposes and may be ignored</t>
  </si>
  <si>
    <t>Predicted Diameter Female &lt;45yr</t>
  </si>
  <si>
    <t>Predicted Diameter Female 45-54yr</t>
  </si>
  <si>
    <t>Predicted Diameter Female 55-64yr</t>
  </si>
  <si>
    <r>
      <t xml:space="preserve">Predicted Diameter Female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65yr</t>
    </r>
  </si>
  <si>
    <t>Predicted Diameter Male &lt;45yr</t>
  </si>
  <si>
    <t>Predicted Diameter Male 45-54yr</t>
  </si>
  <si>
    <t>Predicted Diameter Male 55-64yr</t>
  </si>
  <si>
    <r>
      <t xml:space="preserve">Predicted Diameter Male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65yr</t>
    </r>
  </si>
  <si>
    <t>Predicted Diameter Female 45-55yr</t>
  </si>
  <si>
    <t>Predicted Diameter Female 55-65yr</t>
  </si>
  <si>
    <t>Predicted Diameter Female &gt;65yr</t>
  </si>
  <si>
    <t>Predicted Diameter Male 45-55yr</t>
  </si>
  <si>
    <t>Predicted Diameter Male 55-65yr</t>
  </si>
  <si>
    <t>Predicted Diameter Male &gt;65yr</t>
  </si>
  <si>
    <t>in years</t>
  </si>
  <si>
    <t>as inches</t>
  </si>
  <si>
    <t>OR    as cm</t>
  </si>
  <si>
    <t>as lb</t>
  </si>
  <si>
    <t>OR    as kg</t>
  </si>
  <si>
    <t>as cm</t>
  </si>
  <si>
    <t>OR    as mm</t>
  </si>
  <si>
    <t>cm</t>
  </si>
  <si>
    <t>Aorta Diagnosis</t>
  </si>
  <si>
    <t>(SD from normal)</t>
  </si>
  <si>
    <t>ENTER</t>
  </si>
  <si>
    <t>CALCULATED</t>
  </si>
  <si>
    <t>Ascending Aorta Diameter</t>
  </si>
  <si>
    <t>Weight</t>
  </si>
  <si>
    <t>Height</t>
  </si>
  <si>
    <t>(aneurysm &gt; 1.5x normal)</t>
  </si>
  <si>
    <t>(normal within 2SD)</t>
  </si>
  <si>
    <t>(ectasia &gt; 2SD larger, &lt; 1.5x)</t>
  </si>
  <si>
    <t>(hypoplastic &gt; 2SD smaller)</t>
  </si>
  <si>
    <t>Aorta Z-Score</t>
  </si>
  <si>
    <t>Aorta Fold-Increase</t>
  </si>
  <si>
    <t>Sex (M/F or Male/Female)</t>
  </si>
  <si>
    <t>Height (in) or</t>
  </si>
  <si>
    <t>Weight (lb) or</t>
  </si>
  <si>
    <t>Diameter (cm) or</t>
  </si>
  <si>
    <r>
      <t xml:space="preserve">Predicted Diameter Female 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65yr</t>
    </r>
  </si>
  <si>
    <r>
      <t xml:space="preserve">Predicted Diameter Male 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65yr</t>
    </r>
  </si>
  <si>
    <r>
      <t>SD Female &lt;45yr &lt;1.70m</t>
    </r>
    <r>
      <rPr>
        <b/>
        <vertAlign val="superscript"/>
        <sz val="11"/>
        <rFont val="Arial"/>
        <family val="2"/>
      </rPr>
      <t>2</t>
    </r>
  </si>
  <si>
    <r>
      <t>SD Female &lt;45yr 1.70-1.89m</t>
    </r>
    <r>
      <rPr>
        <b/>
        <vertAlign val="superscript"/>
        <sz val="11"/>
        <rFont val="Arial"/>
        <family val="2"/>
      </rPr>
      <t>2</t>
    </r>
  </si>
  <si>
    <r>
      <t>SD Female &lt;45yr 1.90-2.09m</t>
    </r>
    <r>
      <rPr>
        <b/>
        <vertAlign val="superscript"/>
        <sz val="11"/>
        <rFont val="Arial"/>
        <family val="2"/>
      </rPr>
      <t>2</t>
    </r>
  </si>
  <si>
    <r>
      <t xml:space="preserve">SD Female &lt;45yr </t>
    </r>
    <r>
      <rPr>
        <b/>
        <sz val="11"/>
        <rFont val="Calibri"/>
        <family val="2"/>
      </rPr>
      <t>≥2.10m</t>
    </r>
    <r>
      <rPr>
        <b/>
        <vertAlign val="superscript"/>
        <sz val="11"/>
        <rFont val="Calibri"/>
        <family val="2"/>
      </rPr>
      <t>2</t>
    </r>
  </si>
  <si>
    <r>
      <t>SD Female 45-54yr &lt;1.70m</t>
    </r>
    <r>
      <rPr>
        <b/>
        <vertAlign val="superscript"/>
        <sz val="11"/>
        <rFont val="Arial"/>
        <family val="2"/>
      </rPr>
      <t>2</t>
    </r>
  </si>
  <si>
    <r>
      <t>SD Female 45-54yr 1.70-1.89m</t>
    </r>
    <r>
      <rPr>
        <b/>
        <vertAlign val="superscript"/>
        <sz val="11"/>
        <rFont val="Arial"/>
        <family val="2"/>
      </rPr>
      <t>2</t>
    </r>
  </si>
  <si>
    <r>
      <t>SD Female 45-54yr 1.90-2.09m</t>
    </r>
    <r>
      <rPr>
        <b/>
        <vertAlign val="superscript"/>
        <sz val="11"/>
        <rFont val="Arial"/>
        <family val="2"/>
      </rPr>
      <t>2</t>
    </r>
  </si>
  <si>
    <r>
      <t xml:space="preserve">SD Female 45-54yr </t>
    </r>
    <r>
      <rPr>
        <b/>
        <sz val="11"/>
        <rFont val="Calibri"/>
        <family val="2"/>
      </rPr>
      <t>≥2.10m</t>
    </r>
    <r>
      <rPr>
        <b/>
        <vertAlign val="superscript"/>
        <sz val="11"/>
        <rFont val="Calibri"/>
        <family val="2"/>
      </rPr>
      <t>2</t>
    </r>
  </si>
  <si>
    <r>
      <t>SD Female 55-64yr &lt;1.70m</t>
    </r>
    <r>
      <rPr>
        <b/>
        <vertAlign val="superscript"/>
        <sz val="11"/>
        <rFont val="Arial"/>
        <family val="2"/>
      </rPr>
      <t>2</t>
    </r>
  </si>
  <si>
    <r>
      <t>SD Female 55-64yr 1.70-1.89m</t>
    </r>
    <r>
      <rPr>
        <b/>
        <vertAlign val="superscript"/>
        <sz val="11"/>
        <rFont val="Arial"/>
        <family val="2"/>
      </rPr>
      <t>2</t>
    </r>
  </si>
  <si>
    <r>
      <t>SD Female 55-64yr 1.90-2.09m</t>
    </r>
    <r>
      <rPr>
        <b/>
        <vertAlign val="superscript"/>
        <sz val="11"/>
        <rFont val="Arial"/>
        <family val="2"/>
      </rPr>
      <t>2</t>
    </r>
  </si>
  <si>
    <r>
      <t xml:space="preserve">SD Female 55-64yr </t>
    </r>
    <r>
      <rPr>
        <b/>
        <sz val="11"/>
        <rFont val="Calibri"/>
        <family val="2"/>
      </rPr>
      <t>≥2.10m</t>
    </r>
    <r>
      <rPr>
        <b/>
        <vertAlign val="superscript"/>
        <sz val="11"/>
        <rFont val="Calibri"/>
        <family val="2"/>
      </rPr>
      <t>2</t>
    </r>
  </si>
  <si>
    <r>
      <t xml:space="preserve">SD Female 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65yr &lt;1.70m</t>
    </r>
    <r>
      <rPr>
        <b/>
        <vertAlign val="superscript"/>
        <sz val="11"/>
        <rFont val="Arial"/>
        <family val="2"/>
      </rPr>
      <t>2</t>
    </r>
  </si>
  <si>
    <r>
      <t xml:space="preserve">SD Female 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65yr 1.70-1.89m</t>
    </r>
    <r>
      <rPr>
        <b/>
        <vertAlign val="superscript"/>
        <sz val="11"/>
        <rFont val="Arial"/>
        <family val="2"/>
      </rPr>
      <t>2</t>
    </r>
  </si>
  <si>
    <r>
      <t xml:space="preserve">SD Female 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65yr 1.90-2.09m</t>
    </r>
    <r>
      <rPr>
        <b/>
        <vertAlign val="superscript"/>
        <sz val="11"/>
        <rFont val="Arial"/>
        <family val="2"/>
      </rPr>
      <t>2</t>
    </r>
  </si>
  <si>
    <r>
      <t xml:space="preserve">SD Female </t>
    </r>
    <r>
      <rPr>
        <b/>
        <sz val="11"/>
        <rFont val="Calibri"/>
        <family val="2"/>
      </rPr>
      <t>±</t>
    </r>
    <r>
      <rPr>
        <b/>
        <sz val="11"/>
        <rFont val="Arial"/>
        <family val="2"/>
      </rPr>
      <t xml:space="preserve">65yr </t>
    </r>
    <r>
      <rPr>
        <b/>
        <sz val="11"/>
        <rFont val="Calibri"/>
        <family val="2"/>
      </rPr>
      <t>≥2.10m</t>
    </r>
    <r>
      <rPr>
        <b/>
        <vertAlign val="superscript"/>
        <sz val="11"/>
        <rFont val="Calibri"/>
        <family val="2"/>
      </rPr>
      <t>2</t>
    </r>
  </si>
  <si>
    <r>
      <t>SD Male &lt;45yr &lt;1.70m</t>
    </r>
    <r>
      <rPr>
        <b/>
        <vertAlign val="superscript"/>
        <sz val="11"/>
        <rFont val="Arial"/>
        <family val="2"/>
      </rPr>
      <t>2</t>
    </r>
  </si>
  <si>
    <r>
      <t>SD Male &lt;45yr 1.70-1.89m</t>
    </r>
    <r>
      <rPr>
        <b/>
        <vertAlign val="superscript"/>
        <sz val="11"/>
        <rFont val="Arial"/>
        <family val="2"/>
      </rPr>
      <t>2</t>
    </r>
  </si>
  <si>
    <r>
      <t>SD Male &lt;45yr 1.90-2.09m</t>
    </r>
    <r>
      <rPr>
        <b/>
        <vertAlign val="superscript"/>
        <sz val="11"/>
        <rFont val="Arial"/>
        <family val="2"/>
      </rPr>
      <t>2</t>
    </r>
  </si>
  <si>
    <r>
      <t xml:space="preserve">SD Male &lt;45yr </t>
    </r>
    <r>
      <rPr>
        <b/>
        <sz val="11"/>
        <rFont val="Calibri"/>
        <family val="2"/>
      </rPr>
      <t>≥2.10m</t>
    </r>
    <r>
      <rPr>
        <b/>
        <vertAlign val="superscript"/>
        <sz val="11"/>
        <rFont val="Calibri"/>
        <family val="2"/>
      </rPr>
      <t>2</t>
    </r>
  </si>
  <si>
    <r>
      <t>SD Male 45-54yr &lt;1.70m</t>
    </r>
    <r>
      <rPr>
        <b/>
        <vertAlign val="superscript"/>
        <sz val="11"/>
        <rFont val="Arial"/>
        <family val="2"/>
      </rPr>
      <t>2</t>
    </r>
  </si>
  <si>
    <r>
      <t>SD Male 45-54yr 1.70-1.89m</t>
    </r>
    <r>
      <rPr>
        <b/>
        <vertAlign val="superscript"/>
        <sz val="11"/>
        <rFont val="Arial"/>
        <family val="2"/>
      </rPr>
      <t>2</t>
    </r>
  </si>
  <si>
    <r>
      <t>SD Male 45-54yr 1.90-2.09m</t>
    </r>
    <r>
      <rPr>
        <b/>
        <vertAlign val="superscript"/>
        <sz val="11"/>
        <rFont val="Arial"/>
        <family val="2"/>
      </rPr>
      <t>2</t>
    </r>
  </si>
  <si>
    <r>
      <t xml:space="preserve">SD Male 45-54yr </t>
    </r>
    <r>
      <rPr>
        <b/>
        <sz val="11"/>
        <rFont val="Calibri"/>
        <family val="2"/>
      </rPr>
      <t>≥2.10m</t>
    </r>
    <r>
      <rPr>
        <b/>
        <vertAlign val="superscript"/>
        <sz val="11"/>
        <rFont val="Calibri"/>
        <family val="2"/>
      </rPr>
      <t>2</t>
    </r>
  </si>
  <si>
    <r>
      <t>SD Male 55-64yr &lt;1.70m</t>
    </r>
    <r>
      <rPr>
        <b/>
        <vertAlign val="superscript"/>
        <sz val="11"/>
        <rFont val="Arial"/>
        <family val="2"/>
      </rPr>
      <t>2</t>
    </r>
  </si>
  <si>
    <r>
      <t>SD Male 55-64yr 1.70-1.89m</t>
    </r>
    <r>
      <rPr>
        <b/>
        <vertAlign val="superscript"/>
        <sz val="11"/>
        <rFont val="Arial"/>
        <family val="2"/>
      </rPr>
      <t>2</t>
    </r>
  </si>
  <si>
    <r>
      <t>SD Male 55-64yr 1.90-2.09m</t>
    </r>
    <r>
      <rPr>
        <b/>
        <vertAlign val="superscript"/>
        <sz val="11"/>
        <rFont val="Arial"/>
        <family val="2"/>
      </rPr>
      <t>2</t>
    </r>
  </si>
  <si>
    <r>
      <t xml:space="preserve">Male 55-64yr </t>
    </r>
    <r>
      <rPr>
        <b/>
        <sz val="11"/>
        <rFont val="Calibri"/>
        <family val="2"/>
      </rPr>
      <t>≥2.10m</t>
    </r>
    <r>
      <rPr>
        <b/>
        <vertAlign val="superscript"/>
        <sz val="11"/>
        <rFont val="Calibri"/>
        <family val="2"/>
      </rPr>
      <t>2</t>
    </r>
  </si>
  <si>
    <r>
      <t xml:space="preserve">SD Male 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65yr &lt;1.70m</t>
    </r>
    <r>
      <rPr>
        <b/>
        <vertAlign val="superscript"/>
        <sz val="11"/>
        <rFont val="Arial"/>
        <family val="2"/>
      </rPr>
      <t>2</t>
    </r>
  </si>
  <si>
    <r>
      <t xml:space="preserve">SD Male 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65yr 1.70-1.89m</t>
    </r>
    <r>
      <rPr>
        <b/>
        <vertAlign val="superscript"/>
        <sz val="11"/>
        <rFont val="Arial"/>
        <family val="2"/>
      </rPr>
      <t>2</t>
    </r>
  </si>
  <si>
    <r>
      <t xml:space="preserve">SD Male 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65yr 1.90-2.09m</t>
    </r>
    <r>
      <rPr>
        <b/>
        <vertAlign val="superscript"/>
        <sz val="11"/>
        <rFont val="Arial"/>
        <family val="2"/>
      </rPr>
      <t>2</t>
    </r>
  </si>
  <si>
    <r>
      <t xml:space="preserve">SD Male </t>
    </r>
    <r>
      <rPr>
        <b/>
        <sz val="11"/>
        <rFont val="Calibri"/>
        <family val="2"/>
      </rPr>
      <t>±</t>
    </r>
    <r>
      <rPr>
        <b/>
        <sz val="11"/>
        <rFont val="Arial"/>
        <family val="2"/>
      </rPr>
      <t xml:space="preserve">65yr </t>
    </r>
    <r>
      <rPr>
        <b/>
        <sz val="11"/>
        <rFont val="Calibri"/>
        <family val="2"/>
      </rPr>
      <t>≥2.10m</t>
    </r>
    <r>
      <rPr>
        <b/>
        <vertAlign val="superscript"/>
        <sz val="11"/>
        <rFont val="Calibri"/>
        <family val="2"/>
      </rPr>
      <t>2</t>
    </r>
  </si>
  <si>
    <r>
      <t>BSA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</si>
  <si>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Yale University Section of Cardiac Surgery Aorta Calculator</t>
  </si>
  <si>
    <t>(ectasia &gt; 2SD larger and &lt; 1.5x)</t>
  </si>
  <si>
    <t>Descending Aorta Diameter</t>
  </si>
  <si>
    <r>
      <t>m</t>
    </r>
    <r>
      <rPr>
        <b/>
        <vertAlign val="superscript"/>
        <sz val="14"/>
        <color rgb="FFFF0000"/>
        <rFont val="Calibri"/>
        <family val="2"/>
        <scheme val="minor"/>
      </rPr>
      <t>2</t>
    </r>
  </si>
  <si>
    <t>(versus expected normal)</t>
  </si>
  <si>
    <t>Expected Normal Diameter</t>
  </si>
  <si>
    <t>as M/F   OR   Male/female</t>
  </si>
  <si>
    <t>Ascending aorta: 2,952 (1,147 female and 1,805 male) subjects and descending thoracic aorta: 1,931 (736 female and 1,195 male) subjects</t>
  </si>
  <si>
    <t>Female: mean+/-SD is 31.4+/-3.2 mm for ascending and 22.6+/-2.2 mm for descending thoracic aorta  (upper limits 37.4 and 27.0 mm, respectively)</t>
  </si>
  <si>
    <t>Male: mean+/-SD is 33.5+/-3.6 mm for ascending and 25.1+/-2.5 mm for descending thoracic aorta  (upper limits 40.7 and 30.1 mm, respectively)</t>
  </si>
  <si>
    <t>Ascending Aorta SD (mm)</t>
  </si>
  <si>
    <t>Descending Aorta SD (mm)</t>
  </si>
  <si>
    <t>Aorta size defined as aneurysm (&gt;1.5x normal), ectasia (&lt;1.5x normal but &gt;2SD larger than normal), normal (within 2SD of normal), hypoplastic (&gt;2SD smaller than normal)</t>
  </si>
  <si>
    <t>Normal aorta definition from:</t>
  </si>
  <si>
    <t>Aneurysm and Ectasia definitions from:</t>
  </si>
  <si>
    <t>Published results for Expected Diameter and SD are shown in tables below by  age, sex, and BSA for ascending and descending thoracic aortas</t>
  </si>
  <si>
    <t>Expected Ascending Aorta Diameter (mm)</t>
  </si>
  <si>
    <t>Expected Descending Aorta Diameter (mm)</t>
  </si>
  <si>
    <t>Aorta Calculator based on published data:</t>
  </si>
  <si>
    <t>Expected diameter of ascending and descending thoracic aortas use published regression equations derived from nomograms</t>
  </si>
  <si>
    <t>3.2 (overall)</t>
  </si>
  <si>
    <t>SD of ascending and descending thoracic aorta diameters obtained from published tables (except for uncommon groups with &lt;6 subjects where SD was not calculated and overall female or overall male SD was used)</t>
  </si>
  <si>
    <t>2.2 (overall)</t>
  </si>
  <si>
    <t>2.5 (overall)</t>
  </si>
  <si>
    <t>y=3.6*BSA+14.5</t>
  </si>
  <si>
    <t>y=4.9*BSA+13.5</t>
  </si>
  <si>
    <t>y=4.8*BSA+14.7</t>
  </si>
  <si>
    <t>y=3.7*BSA+17.8</t>
  </si>
  <si>
    <t>y=4.4*BSA+14.5</t>
  </si>
  <si>
    <t>y=5.2*BSA+14.1</t>
  </si>
  <si>
    <t>y=5.8*BSA+14.3</t>
  </si>
  <si>
    <t>y=3.9*BSA+19.5</t>
  </si>
  <si>
    <r>
      <t xml:space="preserve">2) Calculations appear in row of cells with yellow highlighted headings (for multiple subjects  select and drag down the entire box </t>
    </r>
    <r>
      <rPr>
        <b/>
        <sz val="12"/>
        <color theme="1"/>
        <rFont val="Calibri"/>
        <family val="2"/>
        <scheme val="minor"/>
      </rPr>
      <t>from Column J to BJ</t>
    </r>
    <r>
      <rPr>
        <sz val="12"/>
        <color theme="1"/>
        <rFont val="Calibri"/>
        <family val="2"/>
        <scheme val="minor"/>
      </rPr>
      <t xml:space="preserve"> outlined by heavy black border)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</si>
</sst>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vertAlign val="superscript"/>
      <sz val="11"/>
      <name val="Arial"/>
      <family val="2"/>
    </font>
    <font>
      <b/>
      <vertAlign val="superscript"/>
      <sz val="11"/>
      <name val="Calibri"/>
      <family val="2"/>
    </font>
    <font>
      <sz val="11"/>
      <name val="Arial"/>
      <family val="2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indexed="64"/>
      </left>
      <right/>
      <top style="thick">
        <color rgb="FF00B050"/>
      </top>
      <bottom/>
      <diagonal/>
    </border>
    <border>
      <left/>
      <right style="thin">
        <color indexed="64"/>
      </right>
      <top style="thick">
        <color rgb="FF00B050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1" fillId="0" borderId="0" xfId="0" applyFont="1" applyFill="1" applyAlignment="1">
      <alignment horizontal="right"/>
    </xf>
    <xf numFmtId="0" fontId="3" fillId="3" borderId="0" xfId="0" applyFont="1" applyFill="1"/>
    <xf numFmtId="0" fontId="0" fillId="3" borderId="0" xfId="0" applyFill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3" borderId="0" xfId="0" applyFont="1" applyFill="1"/>
    <xf numFmtId="2" fontId="0" fillId="0" borderId="2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2" xfId="0" applyNumberFormat="1" applyBorder="1"/>
    <xf numFmtId="164" fontId="0" fillId="0" borderId="0" xfId="0" applyNumberFormat="1"/>
    <xf numFmtId="0" fontId="0" fillId="0" borderId="0" xfId="0" applyBorder="1"/>
    <xf numFmtId="1" fontId="1" fillId="6" borderId="2" xfId="0" applyNumberFormat="1" applyFont="1" applyFill="1" applyBorder="1" applyAlignment="1">
      <alignment horizontal="right"/>
    </xf>
    <xf numFmtId="1" fontId="1" fillId="4" borderId="2" xfId="0" applyNumberFormat="1" applyFont="1" applyFill="1" applyBorder="1" applyAlignment="1">
      <alignment horizontal="right"/>
    </xf>
    <xf numFmtId="164" fontId="1" fillId="5" borderId="2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1" fontId="1" fillId="7" borderId="5" xfId="0" applyNumberFormat="1" applyFont="1" applyFill="1" applyBorder="1" applyAlignment="1">
      <alignment horizontal="left"/>
    </xf>
    <xf numFmtId="0" fontId="0" fillId="0" borderId="6" xfId="0" applyBorder="1"/>
    <xf numFmtId="164" fontId="1" fillId="6" borderId="7" xfId="0" applyNumberFormat="1" applyFont="1" applyFill="1" applyBorder="1" applyAlignment="1">
      <alignment horizontal="left"/>
    </xf>
    <xf numFmtId="0" fontId="0" fillId="0" borderId="8" xfId="0" applyBorder="1" applyAlignment="1">
      <alignment horizontal="right"/>
    </xf>
    <xf numFmtId="164" fontId="1" fillId="4" borderId="7" xfId="0" applyNumberFormat="1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2" fontId="0" fillId="0" borderId="4" xfId="0" applyNumberFormat="1" applyBorder="1"/>
    <xf numFmtId="0" fontId="0" fillId="0" borderId="8" xfId="0" applyBorder="1"/>
    <xf numFmtId="1" fontId="1" fillId="8" borderId="5" xfId="0" applyNumberFormat="1" applyFont="1" applyFill="1" applyBorder="1" applyAlignment="1">
      <alignment horizontal="right"/>
    </xf>
    <xf numFmtId="0" fontId="0" fillId="0" borderId="6" xfId="0" applyFill="1" applyBorder="1"/>
    <xf numFmtId="0" fontId="0" fillId="0" borderId="0" xfId="0" applyFill="1"/>
    <xf numFmtId="0" fontId="0" fillId="0" borderId="0" xfId="0" applyFont="1"/>
    <xf numFmtId="164" fontId="13" fillId="0" borderId="2" xfId="0" applyNumberFormat="1" applyFont="1" applyBorder="1"/>
    <xf numFmtId="2" fontId="13" fillId="0" borderId="2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0" fontId="1" fillId="2" borderId="16" xfId="0" applyFont="1" applyFill="1" applyBorder="1"/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left"/>
    </xf>
    <xf numFmtId="164" fontId="1" fillId="2" borderId="16" xfId="0" applyNumberFormat="1" applyFont="1" applyFill="1" applyBorder="1" applyAlignment="1">
      <alignment horizontal="left"/>
    </xf>
    <xf numFmtId="0" fontId="1" fillId="2" borderId="17" xfId="0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0" fontId="0" fillId="0" borderId="0" xfId="0" applyBorder="1" applyAlignment="1">
      <alignment horizontal="right"/>
    </xf>
    <xf numFmtId="0" fontId="1" fillId="9" borderId="5" xfId="0" applyFont="1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0" fontId="0" fillId="9" borderId="6" xfId="0" applyFill="1" applyBorder="1"/>
    <xf numFmtId="0" fontId="0" fillId="9" borderId="0" xfId="0" applyFill="1" applyAlignment="1">
      <alignment horizontal="right"/>
    </xf>
    <xf numFmtId="0" fontId="0" fillId="9" borderId="8" xfId="0" applyFill="1" applyBorder="1" applyAlignment="1">
      <alignment horizontal="right"/>
    </xf>
    <xf numFmtId="0" fontId="0" fillId="9" borderId="8" xfId="0" applyFill="1" applyBorder="1"/>
    <xf numFmtId="0" fontId="0" fillId="9" borderId="0" xfId="0" applyFill="1"/>
    <xf numFmtId="2" fontId="0" fillId="9" borderId="4" xfId="0" applyNumberFormat="1" applyFill="1" applyBorder="1"/>
    <xf numFmtId="164" fontId="0" fillId="9" borderId="0" xfId="0" applyNumberFormat="1" applyFill="1"/>
    <xf numFmtId="2" fontId="0" fillId="9" borderId="0" xfId="0" applyNumberFormat="1" applyFill="1" applyAlignment="1">
      <alignment horizontal="right"/>
    </xf>
    <xf numFmtId="0" fontId="0" fillId="9" borderId="0" xfId="0" applyFill="1" applyBorder="1"/>
    <xf numFmtId="0" fontId="1" fillId="9" borderId="16" xfId="0" applyFont="1" applyFill="1" applyBorder="1"/>
    <xf numFmtId="164" fontId="1" fillId="9" borderId="16" xfId="0" applyNumberFormat="1" applyFont="1" applyFill="1" applyBorder="1" applyAlignment="1">
      <alignment horizontal="right"/>
    </xf>
    <xf numFmtId="2" fontId="1" fillId="9" borderId="16" xfId="0" applyNumberFormat="1" applyFont="1" applyFill="1" applyBorder="1" applyAlignment="1">
      <alignment horizontal="right"/>
    </xf>
    <xf numFmtId="2" fontId="1" fillId="9" borderId="16" xfId="0" applyNumberFormat="1" applyFont="1" applyFill="1" applyBorder="1" applyAlignment="1">
      <alignment horizontal="left"/>
    </xf>
    <xf numFmtId="2" fontId="1" fillId="9" borderId="15" xfId="0" applyNumberFormat="1" applyFont="1" applyFill="1" applyBorder="1" applyAlignment="1">
      <alignment horizontal="right"/>
    </xf>
    <xf numFmtId="164" fontId="1" fillId="9" borderId="16" xfId="0" applyNumberFormat="1" applyFont="1" applyFill="1" applyBorder="1" applyAlignment="1">
      <alignment horizontal="left"/>
    </xf>
    <xf numFmtId="0" fontId="1" fillId="9" borderId="17" xfId="0" applyFont="1" applyFill="1" applyBorder="1" applyAlignment="1">
      <alignment horizontal="right"/>
    </xf>
    <xf numFmtId="0" fontId="3" fillId="9" borderId="0" xfId="0" applyFont="1" applyFill="1"/>
    <xf numFmtId="0" fontId="0" fillId="9" borderId="1" xfId="0" applyFill="1" applyBorder="1"/>
    <xf numFmtId="0" fontId="0" fillId="9" borderId="2" xfId="0" applyFill="1" applyBorder="1"/>
    <xf numFmtId="2" fontId="0" fillId="9" borderId="2" xfId="0" applyNumberFormat="1" applyFill="1" applyBorder="1"/>
    <xf numFmtId="164" fontId="0" fillId="9" borderId="2" xfId="0" applyNumberFormat="1" applyFill="1" applyBorder="1"/>
    <xf numFmtId="164" fontId="13" fillId="9" borderId="2" xfId="0" applyNumberFormat="1" applyFont="1" applyFill="1" applyBorder="1"/>
    <xf numFmtId="2" fontId="13" fillId="9" borderId="2" xfId="0" applyNumberFormat="1" applyFont="1" applyFill="1" applyBorder="1" applyAlignment="1">
      <alignment horizontal="right"/>
    </xf>
    <xf numFmtId="0" fontId="13" fillId="9" borderId="3" xfId="0" applyFont="1" applyFill="1" applyBorder="1" applyAlignment="1">
      <alignment horizontal="right"/>
    </xf>
    <xf numFmtId="2" fontId="0" fillId="9" borderId="0" xfId="0" applyNumberFormat="1" applyFill="1" applyBorder="1"/>
    <xf numFmtId="164" fontId="0" fillId="9" borderId="0" xfId="0" applyNumberFormat="1" applyFill="1" applyBorder="1"/>
    <xf numFmtId="164" fontId="13" fillId="9" borderId="0" xfId="0" applyNumberFormat="1" applyFont="1" applyFill="1" applyBorder="1"/>
    <xf numFmtId="2" fontId="13" fillId="9" borderId="0" xfId="0" applyNumberFormat="1" applyFont="1" applyFill="1" applyBorder="1" applyAlignment="1">
      <alignment horizontal="right"/>
    </xf>
    <xf numFmtId="0" fontId="13" fillId="9" borderId="0" xfId="0" applyFont="1" applyFill="1" applyBorder="1" applyAlignment="1">
      <alignment horizontal="right"/>
    </xf>
    <xf numFmtId="0" fontId="0" fillId="9" borderId="28" xfId="0" applyFill="1" applyBorder="1"/>
    <xf numFmtId="1" fontId="1" fillId="9" borderId="5" xfId="0" applyNumberFormat="1" applyFont="1" applyFill="1" applyBorder="1" applyAlignment="1">
      <alignment horizontal="right"/>
    </xf>
    <xf numFmtId="0" fontId="1" fillId="9" borderId="7" xfId="0" applyFont="1" applyFill="1" applyBorder="1" applyAlignment="1">
      <alignment horizontal="left"/>
    </xf>
    <xf numFmtId="0" fontId="0" fillId="9" borderId="15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16" fillId="9" borderId="5" xfId="0" applyFont="1" applyFill="1" applyBorder="1" applyAlignment="1">
      <alignment horizontal="right"/>
    </xf>
    <xf numFmtId="1" fontId="16" fillId="9" borderId="5" xfId="0" applyNumberFormat="1" applyFont="1" applyFill="1" applyBorder="1" applyAlignment="1">
      <alignment horizontal="right"/>
    </xf>
    <xf numFmtId="1" fontId="16" fillId="9" borderId="5" xfId="0" applyNumberFormat="1" applyFont="1" applyFill="1" applyBorder="1" applyAlignment="1">
      <alignment horizontal="left"/>
    </xf>
    <xf numFmtId="1" fontId="16" fillId="9" borderId="2" xfId="0" applyNumberFormat="1" applyFont="1" applyFill="1" applyBorder="1" applyAlignment="1">
      <alignment horizontal="right"/>
    </xf>
    <xf numFmtId="164" fontId="16" fillId="9" borderId="7" xfId="0" applyNumberFormat="1" applyFont="1" applyFill="1" applyBorder="1" applyAlignment="1">
      <alignment horizontal="left"/>
    </xf>
    <xf numFmtId="164" fontId="16" fillId="9" borderId="2" xfId="0" applyNumberFormat="1" applyFont="1" applyFill="1" applyBorder="1" applyAlignment="1">
      <alignment horizontal="right"/>
    </xf>
    <xf numFmtId="0" fontId="16" fillId="9" borderId="7" xfId="0" applyFont="1" applyFill="1" applyBorder="1" applyAlignment="1">
      <alignment horizontal="left"/>
    </xf>
    <xf numFmtId="0" fontId="16" fillId="9" borderId="16" xfId="0" applyFont="1" applyFill="1" applyBorder="1"/>
    <xf numFmtId="164" fontId="16" fillId="9" borderId="16" xfId="0" applyNumberFormat="1" applyFont="1" applyFill="1" applyBorder="1" applyAlignment="1">
      <alignment horizontal="right"/>
    </xf>
    <xf numFmtId="2" fontId="16" fillId="9" borderId="16" xfId="0" applyNumberFormat="1" applyFont="1" applyFill="1" applyBorder="1" applyAlignment="1">
      <alignment horizontal="right"/>
    </xf>
    <xf numFmtId="2" fontId="16" fillId="9" borderId="16" xfId="0" applyNumberFormat="1" applyFont="1" applyFill="1" applyBorder="1" applyAlignment="1">
      <alignment horizontal="left"/>
    </xf>
    <xf numFmtId="2" fontId="16" fillId="9" borderId="15" xfId="0" applyNumberFormat="1" applyFont="1" applyFill="1" applyBorder="1" applyAlignment="1">
      <alignment horizontal="right"/>
    </xf>
    <xf numFmtId="164" fontId="16" fillId="9" borderId="16" xfId="0" applyNumberFormat="1" applyFont="1" applyFill="1" applyBorder="1" applyAlignment="1">
      <alignment horizontal="left"/>
    </xf>
    <xf numFmtId="0" fontId="16" fillId="9" borderId="17" xfId="0" applyFont="1" applyFill="1" applyBorder="1" applyAlignment="1">
      <alignment horizontal="right"/>
    </xf>
    <xf numFmtId="0" fontId="20" fillId="9" borderId="0" xfId="0" applyFont="1" applyFill="1"/>
    <xf numFmtId="0" fontId="1" fillId="9" borderId="0" xfId="0" applyFont="1" applyFill="1" applyAlignment="1">
      <alignment horizontal="right"/>
    </xf>
    <xf numFmtId="2" fontId="0" fillId="9" borderId="2" xfId="0" applyNumberFormat="1" applyFill="1" applyBorder="1" applyAlignment="1">
      <alignment horizontal="right"/>
    </xf>
    <xf numFmtId="0" fontId="21" fillId="0" borderId="6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2" fillId="9" borderId="6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right" vertical="center"/>
    </xf>
    <xf numFmtId="0" fontId="22" fillId="9" borderId="0" xfId="0" applyFont="1" applyFill="1" applyAlignment="1">
      <alignment horizontal="right" vertical="center"/>
    </xf>
    <xf numFmtId="0" fontId="22" fillId="9" borderId="8" xfId="0" applyFont="1" applyFill="1" applyBorder="1" applyAlignment="1">
      <alignment horizontal="right" vertical="center"/>
    </xf>
    <xf numFmtId="0" fontId="22" fillId="9" borderId="0" xfId="0" applyFont="1" applyFill="1" applyBorder="1" applyAlignment="1">
      <alignment vertical="center"/>
    </xf>
    <xf numFmtId="0" fontId="22" fillId="9" borderId="6" xfId="0" applyFont="1" applyFill="1" applyBorder="1" applyAlignment="1">
      <alignment vertical="center"/>
    </xf>
    <xf numFmtId="0" fontId="22" fillId="9" borderId="8" xfId="0" applyFont="1" applyFill="1" applyBorder="1" applyAlignment="1">
      <alignment vertical="center"/>
    </xf>
    <xf numFmtId="0" fontId="25" fillId="9" borderId="4" xfId="0" applyFont="1" applyFill="1" applyBorder="1" applyAlignment="1">
      <alignment horizontal="right" vertical="center"/>
    </xf>
    <xf numFmtId="0" fontId="25" fillId="9" borderId="6" xfId="0" applyFont="1" applyFill="1" applyBorder="1" applyAlignment="1">
      <alignment horizontal="right" vertical="center"/>
    </xf>
    <xf numFmtId="0" fontId="25" fillId="9" borderId="0" xfId="0" applyFont="1" applyFill="1" applyAlignment="1">
      <alignment horizontal="right" vertical="center"/>
    </xf>
    <xf numFmtId="0" fontId="25" fillId="9" borderId="8" xfId="0" applyFont="1" applyFill="1" applyBorder="1" applyAlignment="1">
      <alignment horizontal="right" vertical="center"/>
    </xf>
    <xf numFmtId="0" fontId="25" fillId="9" borderId="0" xfId="0" applyFont="1" applyFill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7" fillId="0" borderId="4" xfId="0" applyFont="1" applyFill="1" applyBorder="1" applyAlignment="1">
      <alignment horizontal="center" vertical="center"/>
    </xf>
    <xf numFmtId="2" fontId="27" fillId="0" borderId="18" xfId="0" applyNumberFormat="1" applyFont="1" applyFill="1" applyBorder="1" applyAlignment="1">
      <alignment horizontal="center" vertical="center"/>
    </xf>
    <xf numFmtId="164" fontId="27" fillId="0" borderId="18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6" fillId="0" borderId="0" xfId="0" applyFont="1" applyFill="1"/>
    <xf numFmtId="0" fontId="23" fillId="0" borderId="4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2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ont="1" applyFill="1"/>
    <xf numFmtId="0" fontId="7" fillId="0" borderId="0" xfId="0" applyFont="1" applyFill="1"/>
    <xf numFmtId="0" fontId="6" fillId="0" borderId="9" xfId="0" applyFont="1" applyFill="1" applyBorder="1"/>
    <xf numFmtId="0" fontId="6" fillId="0" borderId="10" xfId="0" applyFont="1" applyFill="1" applyBorder="1"/>
    <xf numFmtId="0" fontId="7" fillId="0" borderId="11" xfId="0" applyFont="1" applyFill="1" applyBorder="1"/>
    <xf numFmtId="0" fontId="7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/>
    <xf numFmtId="2" fontId="6" fillId="0" borderId="0" xfId="0" applyNumberFormat="1" applyFont="1" applyFill="1"/>
    <xf numFmtId="0" fontId="6" fillId="0" borderId="4" xfId="0" applyFont="1" applyFill="1" applyBorder="1"/>
    <xf numFmtId="0" fontId="6" fillId="0" borderId="0" xfId="0" applyFont="1" applyFill="1" applyBorder="1"/>
    <xf numFmtId="0" fontId="6" fillId="0" borderId="8" xfId="0" applyFont="1" applyFill="1" applyBorder="1"/>
    <xf numFmtId="164" fontId="6" fillId="0" borderId="8" xfId="0" applyNumberFormat="1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164" fontId="6" fillId="0" borderId="14" xfId="0" applyNumberFormat="1" applyFont="1" applyFill="1" applyBorder="1"/>
    <xf numFmtId="0" fontId="9" fillId="0" borderId="0" xfId="0" applyFont="1" applyFill="1"/>
    <xf numFmtId="0" fontId="8" fillId="0" borderId="0" xfId="0" applyFont="1" applyFill="1"/>
    <xf numFmtId="0" fontId="1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="75" zoomScaleNormal="75" workbookViewId="0">
      <selection activeCell="V18" sqref="V18"/>
    </sheetView>
  </sheetViews>
  <sheetFormatPr defaultRowHeight="15.75" x14ac:dyDescent="0.25"/>
  <cols>
    <col min="1" max="21" width="11.25" style="29" customWidth="1"/>
  </cols>
  <sheetData>
    <row r="1" spans="1:21" x14ac:dyDescent="0.25">
      <c r="A1" s="134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2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21" x14ac:dyDescent="0.25">
      <c r="A3" s="134" t="s">
        <v>190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21" s="30" customFormat="1" x14ac:dyDescent="0.25">
      <c r="A4" s="135" t="s">
        <v>14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36"/>
      <c r="U4" s="136"/>
    </row>
    <row r="5" spans="1:21" s="30" customFormat="1" x14ac:dyDescent="0.25">
      <c r="A5" s="122" t="s">
        <v>13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36"/>
      <c r="U5" s="136"/>
    </row>
    <row r="6" spans="1:21" s="30" customFormat="1" x14ac:dyDescent="0.25">
      <c r="A6" s="122" t="s">
        <v>48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36"/>
      <c r="U6" s="136"/>
    </row>
    <row r="7" spans="1:21" x14ac:dyDescent="0.2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21" x14ac:dyDescent="0.25">
      <c r="A8" s="122" t="s">
        <v>89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21" x14ac:dyDescent="0.25">
      <c r="A9" s="122" t="s">
        <v>179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21" x14ac:dyDescent="0.25">
      <c r="A10" s="122" t="s">
        <v>42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21" x14ac:dyDescent="0.25">
      <c r="A11" s="122" t="s">
        <v>180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21" x14ac:dyDescent="0.25">
      <c r="A12" s="122" t="s">
        <v>181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21" x14ac:dyDescent="0.2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21" x14ac:dyDescent="0.25">
      <c r="A14" s="122" t="s">
        <v>187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21" x14ac:dyDescent="0.25">
      <c r="A15" s="122" t="s">
        <v>191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x14ac:dyDescent="0.25">
      <c r="A16" s="122" t="s">
        <v>193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21" x14ac:dyDescent="0.2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21" x14ac:dyDescent="0.25">
      <c r="A18" s="137" t="s">
        <v>188</v>
      </c>
      <c r="B18" s="122"/>
      <c r="C18" s="122"/>
      <c r="D18" s="122"/>
      <c r="E18" s="122"/>
      <c r="F18" s="137" t="s">
        <v>182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21" x14ac:dyDescent="0.25">
      <c r="A19" s="138" t="s">
        <v>15</v>
      </c>
      <c r="B19" s="139" t="s">
        <v>2</v>
      </c>
      <c r="C19" s="139" t="s">
        <v>6</v>
      </c>
      <c r="D19" s="140"/>
      <c r="E19" s="141"/>
      <c r="F19" s="138" t="s">
        <v>15</v>
      </c>
      <c r="G19" s="139" t="s">
        <v>2</v>
      </c>
      <c r="H19" s="139" t="s">
        <v>90</v>
      </c>
      <c r="I19" s="142" t="s">
        <v>7</v>
      </c>
      <c r="J19" s="138" t="s">
        <v>15</v>
      </c>
      <c r="K19" s="139" t="s">
        <v>2</v>
      </c>
      <c r="L19" s="139" t="s">
        <v>90</v>
      </c>
      <c r="M19" s="142" t="s">
        <v>7</v>
      </c>
      <c r="N19" s="138" t="s">
        <v>15</v>
      </c>
      <c r="O19" s="139" t="s">
        <v>2</v>
      </c>
      <c r="P19" s="139" t="s">
        <v>90</v>
      </c>
      <c r="Q19" s="142" t="s">
        <v>7</v>
      </c>
      <c r="R19" s="139" t="s">
        <v>15</v>
      </c>
      <c r="S19" s="139" t="s">
        <v>2</v>
      </c>
      <c r="T19" s="139" t="s">
        <v>90</v>
      </c>
      <c r="U19" s="142" t="s">
        <v>7</v>
      </c>
    </row>
    <row r="20" spans="1:21" x14ac:dyDescent="0.25">
      <c r="A20" s="138" t="s">
        <v>0</v>
      </c>
      <c r="B20" s="139" t="s">
        <v>3</v>
      </c>
      <c r="C20" s="139" t="s">
        <v>16</v>
      </c>
      <c r="D20" s="143"/>
      <c r="E20" s="144"/>
      <c r="F20" s="138" t="s">
        <v>0</v>
      </c>
      <c r="G20" s="139" t="s">
        <v>3</v>
      </c>
      <c r="H20" s="139" t="s">
        <v>92</v>
      </c>
      <c r="I20" s="143">
        <v>2.7</v>
      </c>
      <c r="J20" s="138" t="s">
        <v>0</v>
      </c>
      <c r="K20" s="139" t="s">
        <v>5</v>
      </c>
      <c r="L20" s="139" t="s">
        <v>92</v>
      </c>
      <c r="M20" s="143">
        <v>2.9</v>
      </c>
      <c r="N20" s="138" t="s">
        <v>1</v>
      </c>
      <c r="O20" s="139" t="s">
        <v>3</v>
      </c>
      <c r="P20" s="139" t="s">
        <v>92</v>
      </c>
      <c r="Q20" s="143">
        <v>2.2000000000000002</v>
      </c>
      <c r="R20" s="139" t="s">
        <v>1</v>
      </c>
      <c r="S20" s="139" t="s">
        <v>5</v>
      </c>
      <c r="T20" s="139" t="s">
        <v>92</v>
      </c>
      <c r="U20" s="143">
        <v>2.4</v>
      </c>
    </row>
    <row r="21" spans="1:21" x14ac:dyDescent="0.25">
      <c r="A21" s="145"/>
      <c r="B21" s="146" t="s">
        <v>4</v>
      </c>
      <c r="C21" s="146" t="s">
        <v>17</v>
      </c>
      <c r="D21" s="147"/>
      <c r="E21" s="144"/>
      <c r="F21" s="145"/>
      <c r="G21" s="146" t="s">
        <v>3</v>
      </c>
      <c r="H21" s="146" t="s">
        <v>93</v>
      </c>
      <c r="I21" s="147">
        <v>2.2000000000000002</v>
      </c>
      <c r="J21" s="145"/>
      <c r="K21" s="146" t="s">
        <v>5</v>
      </c>
      <c r="L21" s="146" t="s">
        <v>93</v>
      </c>
      <c r="M21" s="147">
        <v>2.6</v>
      </c>
      <c r="N21" s="145"/>
      <c r="O21" s="146" t="s">
        <v>3</v>
      </c>
      <c r="P21" s="146" t="s">
        <v>93</v>
      </c>
      <c r="Q21" s="147">
        <v>3.1</v>
      </c>
      <c r="R21" s="146"/>
      <c r="S21" s="146" t="s">
        <v>5</v>
      </c>
      <c r="T21" s="146" t="s">
        <v>93</v>
      </c>
      <c r="U21" s="147">
        <v>3.1</v>
      </c>
    </row>
    <row r="22" spans="1:21" x14ac:dyDescent="0.25">
      <c r="A22" s="145"/>
      <c r="B22" s="146" t="s">
        <v>5</v>
      </c>
      <c r="C22" s="146" t="s">
        <v>19</v>
      </c>
      <c r="D22" s="147"/>
      <c r="E22" s="144"/>
      <c r="F22" s="145"/>
      <c r="G22" s="146" t="s">
        <v>3</v>
      </c>
      <c r="H22" s="146" t="s">
        <v>94</v>
      </c>
      <c r="I22" s="147">
        <v>2.6</v>
      </c>
      <c r="J22" s="145"/>
      <c r="K22" s="146" t="s">
        <v>5</v>
      </c>
      <c r="L22" s="146" t="s">
        <v>94</v>
      </c>
      <c r="M22" s="148">
        <v>3</v>
      </c>
      <c r="N22" s="145"/>
      <c r="O22" s="146" t="s">
        <v>3</v>
      </c>
      <c r="P22" s="146" t="s">
        <v>94</v>
      </c>
      <c r="Q22" s="147">
        <v>2.7</v>
      </c>
      <c r="R22" s="146"/>
      <c r="S22" s="146" t="s">
        <v>5</v>
      </c>
      <c r="T22" s="146" t="s">
        <v>94</v>
      </c>
      <c r="U22" s="147">
        <v>3.3</v>
      </c>
    </row>
    <row r="23" spans="1:21" x14ac:dyDescent="0.25">
      <c r="A23" s="149"/>
      <c r="B23" s="150" t="s">
        <v>91</v>
      </c>
      <c r="C23" s="150" t="s">
        <v>18</v>
      </c>
      <c r="D23" s="151"/>
      <c r="E23" s="144"/>
      <c r="F23" s="149"/>
      <c r="G23" s="150" t="s">
        <v>3</v>
      </c>
      <c r="H23" s="150" t="s">
        <v>95</v>
      </c>
      <c r="I23" s="151" t="s">
        <v>192</v>
      </c>
      <c r="J23" s="149"/>
      <c r="K23" s="150" t="s">
        <v>5</v>
      </c>
      <c r="L23" s="150" t="s">
        <v>95</v>
      </c>
      <c r="M23" s="151">
        <v>3.3</v>
      </c>
      <c r="N23" s="149"/>
      <c r="O23" s="150" t="s">
        <v>3</v>
      </c>
      <c r="P23" s="150" t="s">
        <v>95</v>
      </c>
      <c r="Q23" s="152">
        <v>3</v>
      </c>
      <c r="R23" s="150"/>
      <c r="S23" s="150" t="s">
        <v>5</v>
      </c>
      <c r="T23" s="150" t="s">
        <v>95</v>
      </c>
      <c r="U23" s="151">
        <v>3.5</v>
      </c>
    </row>
    <row r="24" spans="1:21" x14ac:dyDescent="0.25">
      <c r="A24" s="145" t="s">
        <v>1</v>
      </c>
      <c r="B24" s="146" t="s">
        <v>3</v>
      </c>
      <c r="C24" s="146" t="s">
        <v>20</v>
      </c>
      <c r="D24" s="147"/>
      <c r="E24" s="144"/>
      <c r="F24" s="145" t="s">
        <v>0</v>
      </c>
      <c r="G24" s="146" t="s">
        <v>4</v>
      </c>
      <c r="H24" s="146" t="s">
        <v>92</v>
      </c>
      <c r="I24" s="147">
        <v>2.8</v>
      </c>
      <c r="J24" s="145" t="s">
        <v>0</v>
      </c>
      <c r="K24" s="146" t="s">
        <v>91</v>
      </c>
      <c r="L24" s="146" t="s">
        <v>92</v>
      </c>
      <c r="M24" s="147">
        <v>2.5</v>
      </c>
      <c r="N24" s="145" t="s">
        <v>1</v>
      </c>
      <c r="O24" s="146" t="s">
        <v>4</v>
      </c>
      <c r="P24" s="146" t="s">
        <v>92</v>
      </c>
      <c r="Q24" s="147">
        <v>3.8</v>
      </c>
      <c r="R24" s="146" t="s">
        <v>1</v>
      </c>
      <c r="S24" s="146" t="s">
        <v>91</v>
      </c>
      <c r="T24" s="146" t="s">
        <v>92</v>
      </c>
      <c r="U24" s="147">
        <v>2.2999999999999998</v>
      </c>
    </row>
    <row r="25" spans="1:21" x14ac:dyDescent="0.25">
      <c r="A25" s="145"/>
      <c r="B25" s="146" t="s">
        <v>4</v>
      </c>
      <c r="C25" s="146" t="s">
        <v>21</v>
      </c>
      <c r="D25" s="147"/>
      <c r="E25" s="144"/>
      <c r="F25" s="145"/>
      <c r="G25" s="146" t="s">
        <v>4</v>
      </c>
      <c r="H25" s="146" t="s">
        <v>93</v>
      </c>
      <c r="I25" s="147">
        <v>2.9</v>
      </c>
      <c r="J25" s="145"/>
      <c r="K25" s="146" t="s">
        <v>91</v>
      </c>
      <c r="L25" s="146" t="s">
        <v>93</v>
      </c>
      <c r="M25" s="147">
        <v>2.9</v>
      </c>
      <c r="N25" s="145"/>
      <c r="O25" s="146" t="s">
        <v>4</v>
      </c>
      <c r="P25" s="146" t="s">
        <v>93</v>
      </c>
      <c r="Q25" s="147">
        <v>3.2</v>
      </c>
      <c r="R25" s="146"/>
      <c r="S25" s="146" t="s">
        <v>91</v>
      </c>
      <c r="T25" s="146" t="s">
        <v>93</v>
      </c>
      <c r="U25" s="148">
        <v>3</v>
      </c>
    </row>
    <row r="26" spans="1:21" x14ac:dyDescent="0.25">
      <c r="A26" s="145"/>
      <c r="B26" s="146" t="s">
        <v>5</v>
      </c>
      <c r="C26" s="146" t="s">
        <v>22</v>
      </c>
      <c r="D26" s="147"/>
      <c r="E26" s="144"/>
      <c r="F26" s="145"/>
      <c r="G26" s="146" t="s">
        <v>4</v>
      </c>
      <c r="H26" s="146" t="s">
        <v>94</v>
      </c>
      <c r="I26" s="147">
        <v>3.2</v>
      </c>
      <c r="J26" s="145"/>
      <c r="K26" s="146" t="s">
        <v>91</v>
      </c>
      <c r="L26" s="146" t="s">
        <v>94</v>
      </c>
      <c r="M26" s="147">
        <v>4.2</v>
      </c>
      <c r="N26" s="145"/>
      <c r="O26" s="146" t="s">
        <v>4</v>
      </c>
      <c r="P26" s="146" t="s">
        <v>94</v>
      </c>
      <c r="Q26" s="147">
        <v>3.3</v>
      </c>
      <c r="R26" s="146"/>
      <c r="S26" s="146" t="s">
        <v>91</v>
      </c>
      <c r="T26" s="146" t="s">
        <v>94</v>
      </c>
      <c r="U26" s="147">
        <v>3.2</v>
      </c>
    </row>
    <row r="27" spans="1:21" x14ac:dyDescent="0.25">
      <c r="A27" s="149"/>
      <c r="B27" s="150" t="s">
        <v>91</v>
      </c>
      <c r="C27" s="150" t="s">
        <v>23</v>
      </c>
      <c r="D27" s="151"/>
      <c r="E27" s="144"/>
      <c r="F27" s="149"/>
      <c r="G27" s="150" t="s">
        <v>4</v>
      </c>
      <c r="H27" s="150" t="s">
        <v>95</v>
      </c>
      <c r="I27" s="151">
        <v>3.1</v>
      </c>
      <c r="J27" s="149"/>
      <c r="K27" s="150" t="s">
        <v>91</v>
      </c>
      <c r="L27" s="150" t="s">
        <v>95</v>
      </c>
      <c r="M27" s="151" t="s">
        <v>192</v>
      </c>
      <c r="N27" s="149"/>
      <c r="O27" s="150" t="s">
        <v>4</v>
      </c>
      <c r="P27" s="150" t="s">
        <v>95</v>
      </c>
      <c r="Q27" s="151">
        <v>3.1</v>
      </c>
      <c r="R27" s="150"/>
      <c r="S27" s="150" t="s">
        <v>91</v>
      </c>
      <c r="T27" s="150" t="s">
        <v>95</v>
      </c>
      <c r="U27" s="151">
        <v>2.8</v>
      </c>
    </row>
    <row r="28" spans="1:21" x14ac:dyDescent="0.25">
      <c r="A28" s="146"/>
      <c r="B28" s="146"/>
      <c r="C28" s="146"/>
      <c r="D28" s="146"/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</row>
    <row r="29" spans="1:21" x14ac:dyDescent="0.25">
      <c r="A29" s="137" t="s">
        <v>189</v>
      </c>
      <c r="B29" s="122"/>
      <c r="C29" s="122"/>
      <c r="D29" s="122"/>
      <c r="E29" s="122"/>
      <c r="F29" s="137" t="s">
        <v>183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</row>
    <row r="30" spans="1:21" x14ac:dyDescent="0.25">
      <c r="A30" s="138" t="s">
        <v>15</v>
      </c>
      <c r="B30" s="139" t="s">
        <v>2</v>
      </c>
      <c r="C30" s="139" t="s">
        <v>6</v>
      </c>
      <c r="D30" s="140"/>
      <c r="E30" s="141"/>
      <c r="F30" s="138" t="s">
        <v>15</v>
      </c>
      <c r="G30" s="139" t="s">
        <v>2</v>
      </c>
      <c r="H30" s="139" t="s">
        <v>90</v>
      </c>
      <c r="I30" s="142" t="s">
        <v>7</v>
      </c>
      <c r="J30" s="138" t="s">
        <v>15</v>
      </c>
      <c r="K30" s="139" t="s">
        <v>2</v>
      </c>
      <c r="L30" s="139" t="s">
        <v>90</v>
      </c>
      <c r="M30" s="142" t="s">
        <v>7</v>
      </c>
      <c r="N30" s="138" t="s">
        <v>15</v>
      </c>
      <c r="O30" s="139" t="s">
        <v>2</v>
      </c>
      <c r="P30" s="139" t="s">
        <v>90</v>
      </c>
      <c r="Q30" s="142" t="s">
        <v>7</v>
      </c>
      <c r="R30" s="139" t="s">
        <v>15</v>
      </c>
      <c r="S30" s="139" t="s">
        <v>2</v>
      </c>
      <c r="T30" s="139" t="s">
        <v>90</v>
      </c>
      <c r="U30" s="142" t="s">
        <v>7</v>
      </c>
    </row>
    <row r="31" spans="1:21" x14ac:dyDescent="0.25">
      <c r="A31" s="138" t="s">
        <v>0</v>
      </c>
      <c r="B31" s="139" t="s">
        <v>3</v>
      </c>
      <c r="C31" s="139" t="s">
        <v>196</v>
      </c>
      <c r="D31" s="143"/>
      <c r="E31" s="144"/>
      <c r="F31" s="138" t="s">
        <v>0</v>
      </c>
      <c r="G31" s="139" t="s">
        <v>3</v>
      </c>
      <c r="H31" s="139" t="s">
        <v>92</v>
      </c>
      <c r="I31" s="143">
        <v>1.4</v>
      </c>
      <c r="J31" s="138" t="s">
        <v>0</v>
      </c>
      <c r="K31" s="139" t="s">
        <v>5</v>
      </c>
      <c r="L31" s="139" t="s">
        <v>92</v>
      </c>
      <c r="M31" s="143">
        <v>1.8</v>
      </c>
      <c r="N31" s="138" t="s">
        <v>1</v>
      </c>
      <c r="O31" s="139" t="s">
        <v>3</v>
      </c>
      <c r="P31" s="139" t="s">
        <v>92</v>
      </c>
      <c r="Q31" s="143" t="s">
        <v>195</v>
      </c>
      <c r="R31" s="139" t="s">
        <v>1</v>
      </c>
      <c r="S31" s="139" t="s">
        <v>5</v>
      </c>
      <c r="T31" s="139" t="s">
        <v>92</v>
      </c>
      <c r="U31" s="143">
        <v>1.5</v>
      </c>
    </row>
    <row r="32" spans="1:21" x14ac:dyDescent="0.25">
      <c r="A32" s="145"/>
      <c r="B32" s="146" t="s">
        <v>4</v>
      </c>
      <c r="C32" s="146" t="s">
        <v>197</v>
      </c>
      <c r="D32" s="147"/>
      <c r="E32" s="144"/>
      <c r="F32" s="145"/>
      <c r="G32" s="146" t="s">
        <v>3</v>
      </c>
      <c r="H32" s="146" t="s">
        <v>93</v>
      </c>
      <c r="I32" s="147">
        <v>1.6</v>
      </c>
      <c r="J32" s="145"/>
      <c r="K32" s="146" t="s">
        <v>5</v>
      </c>
      <c r="L32" s="146" t="s">
        <v>93</v>
      </c>
      <c r="M32" s="147">
        <v>1.9</v>
      </c>
      <c r="N32" s="145"/>
      <c r="O32" s="146" t="s">
        <v>3</v>
      </c>
      <c r="P32" s="146" t="s">
        <v>93</v>
      </c>
      <c r="Q32" s="148">
        <v>2</v>
      </c>
      <c r="R32" s="146"/>
      <c r="S32" s="146" t="s">
        <v>5</v>
      </c>
      <c r="T32" s="146" t="s">
        <v>93</v>
      </c>
      <c r="U32" s="147">
        <v>1.7</v>
      </c>
    </row>
    <row r="33" spans="1:21" x14ac:dyDescent="0.25">
      <c r="A33" s="145"/>
      <c r="B33" s="146" t="s">
        <v>5</v>
      </c>
      <c r="C33" s="146" t="s">
        <v>198</v>
      </c>
      <c r="D33" s="147"/>
      <c r="E33" s="144"/>
      <c r="F33" s="145"/>
      <c r="G33" s="146" t="s">
        <v>3</v>
      </c>
      <c r="H33" s="146" t="s">
        <v>94</v>
      </c>
      <c r="I33" s="147">
        <v>1.2</v>
      </c>
      <c r="J33" s="145"/>
      <c r="K33" s="146" t="s">
        <v>5</v>
      </c>
      <c r="L33" s="146" t="s">
        <v>94</v>
      </c>
      <c r="M33" s="147">
        <v>1.9</v>
      </c>
      <c r="N33" s="145"/>
      <c r="O33" s="146" t="s">
        <v>3</v>
      </c>
      <c r="P33" s="146" t="s">
        <v>94</v>
      </c>
      <c r="Q33" s="147">
        <v>1.7</v>
      </c>
      <c r="R33" s="146"/>
      <c r="S33" s="146" t="s">
        <v>5</v>
      </c>
      <c r="T33" s="146" t="s">
        <v>94</v>
      </c>
      <c r="U33" s="148">
        <v>2</v>
      </c>
    </row>
    <row r="34" spans="1:21" x14ac:dyDescent="0.25">
      <c r="A34" s="149"/>
      <c r="B34" s="150" t="s">
        <v>91</v>
      </c>
      <c r="C34" s="150" t="s">
        <v>199</v>
      </c>
      <c r="D34" s="151"/>
      <c r="E34" s="144"/>
      <c r="F34" s="149"/>
      <c r="G34" s="150" t="s">
        <v>3</v>
      </c>
      <c r="H34" s="150" t="s">
        <v>95</v>
      </c>
      <c r="I34" s="151" t="s">
        <v>194</v>
      </c>
      <c r="J34" s="149"/>
      <c r="K34" s="150" t="s">
        <v>5</v>
      </c>
      <c r="L34" s="150" t="s">
        <v>95</v>
      </c>
      <c r="M34" s="151">
        <v>3.1</v>
      </c>
      <c r="N34" s="149"/>
      <c r="O34" s="150" t="s">
        <v>3</v>
      </c>
      <c r="P34" s="150" t="s">
        <v>95</v>
      </c>
      <c r="Q34" s="152">
        <v>2</v>
      </c>
      <c r="R34" s="150"/>
      <c r="S34" s="150" t="s">
        <v>5</v>
      </c>
      <c r="T34" s="150" t="s">
        <v>95</v>
      </c>
      <c r="U34" s="151">
        <v>2.2000000000000002</v>
      </c>
    </row>
    <row r="35" spans="1:21" x14ac:dyDescent="0.25">
      <c r="A35" s="145" t="s">
        <v>1</v>
      </c>
      <c r="B35" s="146" t="s">
        <v>3</v>
      </c>
      <c r="C35" s="146" t="s">
        <v>200</v>
      </c>
      <c r="D35" s="147"/>
      <c r="E35" s="144"/>
      <c r="F35" s="145" t="s">
        <v>0</v>
      </c>
      <c r="G35" s="146" t="s">
        <v>4</v>
      </c>
      <c r="H35" s="146" t="s">
        <v>92</v>
      </c>
      <c r="I35" s="147">
        <v>1.6</v>
      </c>
      <c r="J35" s="145" t="s">
        <v>0</v>
      </c>
      <c r="K35" s="146" t="s">
        <v>91</v>
      </c>
      <c r="L35" s="146" t="s">
        <v>92</v>
      </c>
      <c r="M35" s="147">
        <v>1.8</v>
      </c>
      <c r="N35" s="145" t="s">
        <v>1</v>
      </c>
      <c r="O35" s="146" t="s">
        <v>4</v>
      </c>
      <c r="P35" s="146" t="s">
        <v>92</v>
      </c>
      <c r="Q35" s="147">
        <v>1.1000000000000001</v>
      </c>
      <c r="R35" s="146" t="s">
        <v>1</v>
      </c>
      <c r="S35" s="146" t="s">
        <v>91</v>
      </c>
      <c r="T35" s="146" t="s">
        <v>92</v>
      </c>
      <c r="U35" s="147" t="s">
        <v>195</v>
      </c>
    </row>
    <row r="36" spans="1:21" x14ac:dyDescent="0.25">
      <c r="A36" s="145"/>
      <c r="B36" s="146" t="s">
        <v>4</v>
      </c>
      <c r="C36" s="146" t="s">
        <v>201</v>
      </c>
      <c r="D36" s="147"/>
      <c r="E36" s="144"/>
      <c r="F36" s="145"/>
      <c r="G36" s="146" t="s">
        <v>4</v>
      </c>
      <c r="H36" s="146" t="s">
        <v>93</v>
      </c>
      <c r="I36" s="147">
        <v>1.6</v>
      </c>
      <c r="J36" s="145"/>
      <c r="K36" s="146" t="s">
        <v>91</v>
      </c>
      <c r="L36" s="146" t="s">
        <v>93</v>
      </c>
      <c r="M36" s="147">
        <v>1.4</v>
      </c>
      <c r="N36" s="145"/>
      <c r="O36" s="146" t="s">
        <v>4</v>
      </c>
      <c r="P36" s="146" t="s">
        <v>93</v>
      </c>
      <c r="Q36" s="148">
        <v>2</v>
      </c>
      <c r="R36" s="146"/>
      <c r="S36" s="146" t="s">
        <v>91</v>
      </c>
      <c r="T36" s="146" t="s">
        <v>93</v>
      </c>
      <c r="U36" s="147">
        <v>2.8</v>
      </c>
    </row>
    <row r="37" spans="1:21" x14ac:dyDescent="0.25">
      <c r="A37" s="145"/>
      <c r="B37" s="146" t="s">
        <v>5</v>
      </c>
      <c r="C37" s="146" t="s">
        <v>202</v>
      </c>
      <c r="D37" s="147"/>
      <c r="E37" s="144"/>
      <c r="F37" s="145"/>
      <c r="G37" s="146" t="s">
        <v>4</v>
      </c>
      <c r="H37" s="146" t="s">
        <v>94</v>
      </c>
      <c r="I37" s="147">
        <v>1.8</v>
      </c>
      <c r="J37" s="145"/>
      <c r="K37" s="146" t="s">
        <v>91</v>
      </c>
      <c r="L37" s="146" t="s">
        <v>94</v>
      </c>
      <c r="M37" s="147">
        <v>1.9</v>
      </c>
      <c r="N37" s="145"/>
      <c r="O37" s="146" t="s">
        <v>4</v>
      </c>
      <c r="P37" s="146" t="s">
        <v>94</v>
      </c>
      <c r="Q37" s="147">
        <v>2.2000000000000002</v>
      </c>
      <c r="R37" s="146"/>
      <c r="S37" s="146" t="s">
        <v>91</v>
      </c>
      <c r="T37" s="146" t="s">
        <v>94</v>
      </c>
      <c r="U37" s="148">
        <v>2</v>
      </c>
    </row>
    <row r="38" spans="1:21" x14ac:dyDescent="0.25">
      <c r="A38" s="149"/>
      <c r="B38" s="150" t="s">
        <v>91</v>
      </c>
      <c r="C38" s="150" t="s">
        <v>203</v>
      </c>
      <c r="D38" s="151"/>
      <c r="E38" s="144"/>
      <c r="F38" s="149"/>
      <c r="G38" s="150" t="s">
        <v>4</v>
      </c>
      <c r="H38" s="150" t="s">
        <v>95</v>
      </c>
      <c r="I38" s="151">
        <v>2.2000000000000002</v>
      </c>
      <c r="J38" s="149"/>
      <c r="K38" s="150" t="s">
        <v>91</v>
      </c>
      <c r="L38" s="150" t="s">
        <v>95</v>
      </c>
      <c r="M38" s="151">
        <v>1.9</v>
      </c>
      <c r="N38" s="149"/>
      <c r="O38" s="150" t="s">
        <v>4</v>
      </c>
      <c r="P38" s="150" t="s">
        <v>95</v>
      </c>
      <c r="Q38" s="151">
        <v>1.9</v>
      </c>
      <c r="R38" s="150"/>
      <c r="S38" s="150" t="s">
        <v>91</v>
      </c>
      <c r="T38" s="150" t="s">
        <v>95</v>
      </c>
      <c r="U38" s="152">
        <v>2</v>
      </c>
    </row>
    <row r="39" spans="1:21" x14ac:dyDescent="0.2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R39" s="122"/>
      <c r="S39" s="122"/>
    </row>
    <row r="40" spans="1:21" x14ac:dyDescent="0.25">
      <c r="A40" s="134" t="s">
        <v>34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R40" s="122"/>
      <c r="S40" s="122"/>
    </row>
    <row r="41" spans="1:21" s="30" customFormat="1" x14ac:dyDescent="0.25">
      <c r="A41" s="122" t="s">
        <v>36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36"/>
      <c r="R41" s="122"/>
      <c r="S41" s="122"/>
      <c r="T41" s="136"/>
      <c r="U41" s="136"/>
    </row>
    <row r="42" spans="1:21" s="30" customFormat="1" x14ac:dyDescent="0.25">
      <c r="A42" s="122" t="s">
        <v>35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36"/>
      <c r="U42" s="136"/>
    </row>
    <row r="43" spans="1:21" s="30" customFormat="1" x14ac:dyDescent="0.25">
      <c r="A43" s="122" t="s">
        <v>49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36"/>
      <c r="U43" s="136"/>
    </row>
    <row r="44" spans="1:21" x14ac:dyDescent="0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</row>
    <row r="45" spans="1:21" x14ac:dyDescent="0.25">
      <c r="A45" s="134" t="s">
        <v>43</v>
      </c>
      <c r="B45" s="122"/>
      <c r="C45" s="122"/>
      <c r="D45" s="122"/>
    </row>
    <row r="46" spans="1:21" x14ac:dyDescent="0.25">
      <c r="A46" s="122" t="s">
        <v>184</v>
      </c>
      <c r="B46" s="122"/>
      <c r="C46" s="122"/>
      <c r="D46" s="122"/>
    </row>
    <row r="47" spans="1:21" x14ac:dyDescent="0.25">
      <c r="A47" s="122"/>
      <c r="B47" s="122"/>
      <c r="C47" s="122"/>
      <c r="D47" s="122"/>
    </row>
    <row r="48" spans="1:21" x14ac:dyDescent="0.25">
      <c r="A48" s="137" t="s">
        <v>186</v>
      </c>
      <c r="B48" s="122"/>
      <c r="C48" s="122"/>
      <c r="D48" s="122"/>
    </row>
    <row r="49" spans="1:4" x14ac:dyDescent="0.25">
      <c r="A49" s="153" t="s">
        <v>44</v>
      </c>
      <c r="B49" s="122"/>
      <c r="C49" s="122"/>
      <c r="D49" s="122"/>
    </row>
    <row r="50" spans="1:4" x14ac:dyDescent="0.25">
      <c r="A50" s="122" t="s">
        <v>54</v>
      </c>
      <c r="B50" s="122"/>
      <c r="C50" s="122"/>
      <c r="D50" s="122"/>
    </row>
    <row r="51" spans="1:4" x14ac:dyDescent="0.25">
      <c r="A51" s="154" t="s">
        <v>45</v>
      </c>
      <c r="B51" s="122"/>
      <c r="C51" s="122"/>
      <c r="D51" s="122"/>
    </row>
    <row r="52" spans="1:4" x14ac:dyDescent="0.25">
      <c r="A52" s="122"/>
      <c r="B52" s="122"/>
      <c r="C52" s="122"/>
      <c r="D52" s="122"/>
    </row>
    <row r="53" spans="1:4" x14ac:dyDescent="0.25">
      <c r="A53" s="153" t="s">
        <v>46</v>
      </c>
      <c r="B53" s="122"/>
      <c r="C53" s="122"/>
      <c r="D53" s="122"/>
    </row>
    <row r="54" spans="1:4" x14ac:dyDescent="0.25">
      <c r="A54" s="122" t="s">
        <v>53</v>
      </c>
      <c r="B54" s="153"/>
      <c r="C54" s="122"/>
      <c r="D54" s="122"/>
    </row>
    <row r="55" spans="1:4" x14ac:dyDescent="0.25">
      <c r="A55" s="153" t="s">
        <v>47</v>
      </c>
      <c r="B55" s="122"/>
      <c r="C55" s="122"/>
      <c r="D55" s="122"/>
    </row>
    <row r="56" spans="1:4" x14ac:dyDescent="0.25">
      <c r="A56" s="122"/>
      <c r="B56" s="122"/>
      <c r="C56" s="122"/>
      <c r="D56" s="122"/>
    </row>
    <row r="57" spans="1:4" x14ac:dyDescent="0.25">
      <c r="A57" s="155" t="s">
        <v>185</v>
      </c>
      <c r="B57" s="122"/>
      <c r="C57" s="122"/>
      <c r="D57" s="122"/>
    </row>
    <row r="58" spans="1:4" x14ac:dyDescent="0.25">
      <c r="A58" s="135" t="s">
        <v>14</v>
      </c>
      <c r="B58" s="122"/>
      <c r="C58" s="122"/>
      <c r="D58" s="122"/>
    </row>
    <row r="59" spans="1:4" x14ac:dyDescent="0.25">
      <c r="A59" s="122" t="s">
        <v>13</v>
      </c>
      <c r="B59" s="122"/>
      <c r="C59" s="122"/>
      <c r="D59" s="122"/>
    </row>
    <row r="60" spans="1:4" x14ac:dyDescent="0.25">
      <c r="A60" s="122" t="s">
        <v>48</v>
      </c>
      <c r="B60" s="122"/>
      <c r="C60" s="122"/>
      <c r="D60" s="122"/>
    </row>
    <row r="61" spans="1:4" x14ac:dyDescent="0.25">
      <c r="A61" s="122"/>
      <c r="B61" s="122"/>
      <c r="C61" s="122"/>
      <c r="D61" s="122"/>
    </row>
    <row r="62" spans="1:4" x14ac:dyDescent="0.25">
      <c r="A62" s="122" t="s">
        <v>50</v>
      </c>
      <c r="B62" s="122"/>
      <c r="C62" s="122"/>
      <c r="D62" s="122"/>
    </row>
    <row r="63" spans="1:4" x14ac:dyDescent="0.25">
      <c r="A63" s="122" t="s">
        <v>51</v>
      </c>
      <c r="B63" s="122"/>
      <c r="C63" s="122"/>
      <c r="D63" s="122"/>
    </row>
    <row r="64" spans="1:4" x14ac:dyDescent="0.25">
      <c r="A64" s="122" t="s">
        <v>52</v>
      </c>
      <c r="B64" s="122"/>
      <c r="C64" s="122"/>
      <c r="D64" s="1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2"/>
  <sheetViews>
    <sheetView tabSelected="1" zoomScale="75" zoomScaleNormal="75" workbookViewId="0">
      <selection activeCell="A6" sqref="A6"/>
    </sheetView>
  </sheetViews>
  <sheetFormatPr defaultRowHeight="15.75" x14ac:dyDescent="0.25"/>
  <cols>
    <col min="1" max="1" width="16.625" style="46" customWidth="1"/>
    <col min="2" max="2" width="32.625" style="18" customWidth="1"/>
    <col min="3" max="3" width="32.625" style="20" customWidth="1"/>
    <col min="4" max="4" width="16.625" style="1" customWidth="1"/>
    <col min="5" max="5" width="16.625" style="22" customWidth="1"/>
    <col min="6" max="6" width="16.625" style="1" customWidth="1"/>
    <col min="7" max="7" width="16.625" style="22" customWidth="1"/>
    <col min="8" max="8" width="16.625" style="1" customWidth="1"/>
    <col min="9" max="9" width="16.625" style="26" customWidth="1"/>
    <col min="10" max="57" width="0.875" style="51" customWidth="1"/>
    <col min="58" max="58" width="11.625" style="52" customWidth="1"/>
    <col min="59" max="59" width="16.375" style="53" customWidth="1"/>
    <col min="60" max="60" width="13.375" style="53" customWidth="1"/>
    <col min="61" max="61" width="11.625" style="54" customWidth="1"/>
    <col min="62" max="62" width="13.25" style="49" customWidth="1"/>
    <col min="63" max="63" width="0.75" style="51" customWidth="1"/>
    <col min="64" max="104" width="9" style="51"/>
  </cols>
  <sheetData>
    <row r="1" spans="1:104" s="95" customFormat="1" ht="18" thickBot="1" x14ac:dyDescent="0.3">
      <c r="A1" s="81" t="s">
        <v>24</v>
      </c>
      <c r="B1" s="82" t="s">
        <v>11</v>
      </c>
      <c r="C1" s="83" t="s">
        <v>133</v>
      </c>
      <c r="D1" s="84" t="s">
        <v>134</v>
      </c>
      <c r="E1" s="85" t="s">
        <v>10</v>
      </c>
      <c r="F1" s="84" t="s">
        <v>135</v>
      </c>
      <c r="G1" s="85" t="s">
        <v>9</v>
      </c>
      <c r="H1" s="86" t="s">
        <v>136</v>
      </c>
      <c r="I1" s="87" t="s">
        <v>33</v>
      </c>
      <c r="J1" s="88" t="s">
        <v>25</v>
      </c>
      <c r="K1" s="89" t="s">
        <v>10</v>
      </c>
      <c r="L1" s="89" t="s">
        <v>9</v>
      </c>
      <c r="M1" s="90" t="s">
        <v>15</v>
      </c>
      <c r="N1" s="91" t="s">
        <v>98</v>
      </c>
      <c r="O1" s="91" t="s">
        <v>99</v>
      </c>
      <c r="P1" s="91" t="s">
        <v>100</v>
      </c>
      <c r="Q1" s="91" t="s">
        <v>137</v>
      </c>
      <c r="R1" s="91" t="s">
        <v>102</v>
      </c>
      <c r="S1" s="91" t="s">
        <v>103</v>
      </c>
      <c r="T1" s="91" t="s">
        <v>104</v>
      </c>
      <c r="U1" s="91" t="s">
        <v>138</v>
      </c>
      <c r="V1" s="91" t="s">
        <v>139</v>
      </c>
      <c r="W1" s="91" t="s">
        <v>140</v>
      </c>
      <c r="X1" s="91" t="s">
        <v>141</v>
      </c>
      <c r="Y1" s="91" t="s">
        <v>142</v>
      </c>
      <c r="Z1" s="91" t="s">
        <v>143</v>
      </c>
      <c r="AA1" s="91" t="s">
        <v>144</v>
      </c>
      <c r="AB1" s="91" t="s">
        <v>145</v>
      </c>
      <c r="AC1" s="91" t="s">
        <v>146</v>
      </c>
      <c r="AD1" s="91" t="s">
        <v>147</v>
      </c>
      <c r="AE1" s="91" t="s">
        <v>148</v>
      </c>
      <c r="AF1" s="91" t="s">
        <v>149</v>
      </c>
      <c r="AG1" s="91" t="s">
        <v>150</v>
      </c>
      <c r="AH1" s="91" t="s">
        <v>151</v>
      </c>
      <c r="AI1" s="91" t="s">
        <v>152</v>
      </c>
      <c r="AJ1" s="91" t="s">
        <v>153</v>
      </c>
      <c r="AK1" s="91" t="s">
        <v>154</v>
      </c>
      <c r="AL1" s="91" t="s">
        <v>155</v>
      </c>
      <c r="AM1" s="91" t="s">
        <v>156</v>
      </c>
      <c r="AN1" s="91" t="s">
        <v>157</v>
      </c>
      <c r="AO1" s="91" t="s">
        <v>158</v>
      </c>
      <c r="AP1" s="91" t="s">
        <v>159</v>
      </c>
      <c r="AQ1" s="91" t="s">
        <v>160</v>
      </c>
      <c r="AR1" s="91" t="s">
        <v>161</v>
      </c>
      <c r="AS1" s="91" t="s">
        <v>162</v>
      </c>
      <c r="AT1" s="91" t="s">
        <v>163</v>
      </c>
      <c r="AU1" s="91" t="s">
        <v>164</v>
      </c>
      <c r="AV1" s="91" t="s">
        <v>165</v>
      </c>
      <c r="AW1" s="91" t="s">
        <v>166</v>
      </c>
      <c r="AX1" s="91" t="s">
        <v>167</v>
      </c>
      <c r="AY1" s="91" t="s">
        <v>168</v>
      </c>
      <c r="AZ1" s="91" t="s">
        <v>169</v>
      </c>
      <c r="BA1" s="91" t="s">
        <v>170</v>
      </c>
      <c r="BB1" s="90" t="s">
        <v>7</v>
      </c>
      <c r="BC1" s="90" t="s">
        <v>40</v>
      </c>
      <c r="BD1" s="90" t="s">
        <v>8</v>
      </c>
      <c r="BE1" s="90" t="s">
        <v>27</v>
      </c>
      <c r="BF1" s="92" t="s">
        <v>171</v>
      </c>
      <c r="BG1" s="93" t="s">
        <v>88</v>
      </c>
      <c r="BH1" s="93" t="s">
        <v>87</v>
      </c>
      <c r="BI1" s="90" t="s">
        <v>12</v>
      </c>
      <c r="BJ1" s="94" t="s">
        <v>26</v>
      </c>
    </row>
    <row r="2" spans="1:104" s="51" customFormat="1" ht="16.5" thickBot="1" x14ac:dyDescent="0.3">
      <c r="A2" s="46"/>
      <c r="B2" s="46">
        <f t="shared" ref="B2:I2" si="0">B6</f>
        <v>0</v>
      </c>
      <c r="C2" s="46">
        <f t="shared" si="0"/>
        <v>0</v>
      </c>
      <c r="D2" s="48">
        <f t="shared" si="0"/>
        <v>0</v>
      </c>
      <c r="E2" s="49">
        <f t="shared" si="0"/>
        <v>0</v>
      </c>
      <c r="F2" s="48">
        <f t="shared" si="0"/>
        <v>0</v>
      </c>
      <c r="G2" s="49">
        <f t="shared" si="0"/>
        <v>0</v>
      </c>
      <c r="H2" s="79">
        <f t="shared" si="0"/>
        <v>0</v>
      </c>
      <c r="I2" s="80">
        <f t="shared" si="0"/>
        <v>0</v>
      </c>
      <c r="J2" s="64">
        <f>IF(H2&gt;0,H2*10,I2)</f>
        <v>0</v>
      </c>
      <c r="K2" s="65">
        <f>IF(D2&gt;0,D2*2.54,E2)</f>
        <v>0</v>
      </c>
      <c r="L2" s="65">
        <f>IF(F2&gt;0,F2*0.453592,G2)</f>
        <v>0</v>
      </c>
      <c r="M2" s="65">
        <f>IF(C2="M",1,IF(C2="Male",1,0))</f>
        <v>0</v>
      </c>
      <c r="N2" s="65">
        <f>IF(AND(B2&lt;45,M2=0),4*BF2+22.3,0)</f>
        <v>22.3</v>
      </c>
      <c r="O2" s="65">
        <f>IF(AND(B2&gt;=45,B2&lt;55,M2=0),7*BF2+18.7,0)</f>
        <v>0</v>
      </c>
      <c r="P2" s="65">
        <f>IF(AND(B2&gt;=55,B2&lt;65,M2=0),5.34*BF2+22.7,0)</f>
        <v>0</v>
      </c>
      <c r="Q2" s="65">
        <f>IF(AND(B2&gt;=65,M2=0),3.9*BF2+26.3,0)</f>
        <v>0</v>
      </c>
      <c r="R2" s="65">
        <f>IF(AND(B2&lt;45,M2=1),5.7*BF2+19.6,0)</f>
        <v>0</v>
      </c>
      <c r="S2" s="65">
        <f>IF(AND(B2&gt;=45,B2&lt;55,M2=1),5.7*BF2+21.6,0)</f>
        <v>0</v>
      </c>
      <c r="T2" s="65">
        <f>IF(AND(B2&gt;=55,B2&lt;65,M2=1),6.6*BF2+21.3,0)</f>
        <v>0</v>
      </c>
      <c r="U2" s="65">
        <f>IF(AND(B2&gt;=65,M2=1),4.3*BF2+27.1,0)</f>
        <v>0</v>
      </c>
      <c r="V2" s="65">
        <f>IF(AND($M2=0,$B2&lt;45,$BF2&lt;1.7),2.7,0)</f>
        <v>2.7</v>
      </c>
      <c r="W2" s="65">
        <f>IF(AND($M2=0,$B2&lt;45,$BF2&gt;=1.7,$BF2&lt;1.9),2.2,0)</f>
        <v>0</v>
      </c>
      <c r="X2" s="65">
        <f>IF(AND($M2=0,$B2&lt;45,$BF2&gt;=1.9,$BF2&lt;2.1),2.6,0)</f>
        <v>0</v>
      </c>
      <c r="Y2" s="65">
        <f>IF(AND($M2=0,$B2&lt;45,$BF2&gt;=2.1),3.2,0)</f>
        <v>0</v>
      </c>
      <c r="Z2" s="65">
        <f>IF(AND($M2=0,$B2&gt;=45,$B2&lt;55,$BF2&lt;1.7),2.8,0)</f>
        <v>0</v>
      </c>
      <c r="AA2" s="65">
        <f>IF(AND($M2=0,$B2&gt;=45,$B2&lt;55,$BF2&gt;=1.7,$BF2&lt;1.9),2.9,0)</f>
        <v>0</v>
      </c>
      <c r="AB2" s="65">
        <f>IF(AND($M2=0,$B2&gt;=45,$B2&lt;55,$BF2&gt;=1.9,$BF2&lt;2.1),3.2,0)</f>
        <v>0</v>
      </c>
      <c r="AC2" s="65">
        <f>IF(AND($M2=0,$B2&gt;=45,$B2&lt;55,$BF2&gt;=2.1),3.1,0)</f>
        <v>0</v>
      </c>
      <c r="AD2" s="65">
        <f>IF(AND($M2=0,$B2&gt;=55,$B2&lt;65,$BF2&lt;1.7),2.9,0)</f>
        <v>0</v>
      </c>
      <c r="AE2" s="65">
        <f>IF(AND($M2=0,$B2&gt;=55,$B2&lt;65,$BF2&gt;=1.7,$BF2&lt;1.9),2.6,0)</f>
        <v>0</v>
      </c>
      <c r="AF2" s="65">
        <f>IF(AND($M2=0,$B2&gt;=55,$B2&lt;65,$BF2&gt;=1.9,$BF2&lt;2.1),3,0)</f>
        <v>0</v>
      </c>
      <c r="AG2" s="65">
        <f>IF(AND($M2=0,$B2&gt;=55,$B2&lt;65,$BF2&gt;=2.1),3.3,0)</f>
        <v>0</v>
      </c>
      <c r="AH2" s="65">
        <f>IF(AND($M2=0,$B2&gt;=65,$BF2&lt;1.7),2.5,0)</f>
        <v>0</v>
      </c>
      <c r="AI2" s="65">
        <f>IF(AND($M2=0,$B2&gt;=65,$BF2&gt;=1.7,$BF2&lt;1.9),2.9,0)</f>
        <v>0</v>
      </c>
      <c r="AJ2" s="65">
        <f>IF(AND($M2=0,$B2&gt;=65,$BF2&gt;=1.9,$BF2&lt;2.1),4.2,0)</f>
        <v>0</v>
      </c>
      <c r="AK2" s="65">
        <f>IF(AND($M2=0,$B2&gt;=65,$BF2&gt;=2.1),3.2,0)</f>
        <v>0</v>
      </c>
      <c r="AL2" s="65">
        <f>IF(AND($M2=1,$B2&lt;45,$BF2&lt;1.7),2.2,0)</f>
        <v>0</v>
      </c>
      <c r="AM2" s="65">
        <f>IF(AND($M2=1,$B2&lt;45,$BF2&gt;=1.7,$BF2&lt;1.9),3.1,0)</f>
        <v>0</v>
      </c>
      <c r="AN2" s="65">
        <f>IF(AND($M2=1,$B2&lt;45,$BF2&gt;=1.9,$BF2&lt;2.1),2.7,0)</f>
        <v>0</v>
      </c>
      <c r="AO2" s="65">
        <f>IF(AND($M2=1,$B2&lt;45,$BF2&gt;=2.1),3,0)</f>
        <v>0</v>
      </c>
      <c r="AP2" s="65">
        <f>IF(AND($M2=1,$B2&gt;=45,$B2&lt;55,$BF2&lt;1.7),3.8,0)</f>
        <v>0</v>
      </c>
      <c r="AQ2" s="65">
        <f>IF(AND($M2=1,$B2&gt;=45,$B2&lt;55,$BF2&gt;=1.7,$BF2&lt;1.9),3.2,0)</f>
        <v>0</v>
      </c>
      <c r="AR2" s="65">
        <f>IF(AND($M2=1,$B2&gt;=45,$B2&lt;55,$BF2&gt;=1.9,$BF2&lt;2.1),3.3,0)</f>
        <v>0</v>
      </c>
      <c r="AS2" s="65">
        <f>IF(AND($M2=1,$B2&gt;=45,$B2&lt;55,$BF2&gt;=2.1),3.1,0)</f>
        <v>0</v>
      </c>
      <c r="AT2" s="65">
        <f>IF(AND($M2=1,$B2&gt;=55,$B2&lt;65,$BF2&lt;1.7),2.4,0)</f>
        <v>0</v>
      </c>
      <c r="AU2" s="65">
        <f>IF(AND($M2=1,$B2&gt;=55,$B2&lt;65,$BF2&gt;=1.7,$BF2&lt;1.9),3.1,0)</f>
        <v>0</v>
      </c>
      <c r="AV2" s="65">
        <f>IF(AND($M2=1,$B2&gt;=55,$B2&lt;65,$BF2&gt;=1.9,$BF2&lt;2.1),3.3,0)</f>
        <v>0</v>
      </c>
      <c r="AW2" s="65">
        <f>IF(AND($M2=1,$B2&gt;=55,$B2&lt;65,$BF2&gt;=2.1),3.5,0)</f>
        <v>0</v>
      </c>
      <c r="AX2" s="65">
        <f>IF(AND($M2=1,$B2&gt;=65,$BF2&lt;1.7),2.3,0)</f>
        <v>0</v>
      </c>
      <c r="AY2" s="65">
        <f>IF(AND($M2=1,$B2&gt;=65,$BF2&gt;=1.7,$BF2&lt;1.9),3,0)</f>
        <v>0</v>
      </c>
      <c r="AZ2" s="65">
        <f>IF(AND($M2=1,$B2&gt;=65,$BF2&gt;=1.9,$BF2&lt;2.1),3.2,0)</f>
        <v>0</v>
      </c>
      <c r="BA2" s="65">
        <f>IF(AND($M2=1,$B2&gt;=65,$BF2&gt;=2.1),2.8,0)</f>
        <v>0</v>
      </c>
      <c r="BB2" s="65">
        <f>MAX(V2:BA2)</f>
        <v>2.7</v>
      </c>
      <c r="BC2" s="65">
        <f>IF(AND($J2&gt;=$BG2+$BB2*2,$J2&lt;$BG2*1.5),1,0)</f>
        <v>0</v>
      </c>
      <c r="BD2" s="65">
        <f>IF($J2&gt;=1.5*$BG2,1,0)</f>
        <v>0</v>
      </c>
      <c r="BE2" s="65">
        <f>IF($J2&lt;=$BG2-$BB2*2,1,0)</f>
        <v>1</v>
      </c>
      <c r="BF2" s="66">
        <f>(K2^0.725)*(L2^0.425)*0.007184</f>
        <v>0</v>
      </c>
      <c r="BG2" s="67">
        <f>MAX(N2:U2)</f>
        <v>22.3</v>
      </c>
      <c r="BH2" s="68">
        <f>J2/BG2</f>
        <v>0</v>
      </c>
      <c r="BI2" s="69">
        <f>(J2-BG2)/BB2</f>
        <v>-8.2592592592592595</v>
      </c>
      <c r="BJ2" s="70" t="str">
        <f>IF($BC2=1,"Ectasia",IF($BD2=1,"Aneurysm",IF($BE2=1,"Hypoplastic","Normal")))</f>
        <v>Hypoplastic</v>
      </c>
    </row>
    <row r="3" spans="1:104" ht="30" customHeight="1" thickTop="1" thickBot="1" x14ac:dyDescent="0.3">
      <c r="A3" s="102"/>
      <c r="B3" s="131" t="s">
        <v>172</v>
      </c>
      <c r="C3" s="132"/>
      <c r="D3" s="132"/>
      <c r="E3" s="132"/>
      <c r="F3" s="132"/>
      <c r="G3" s="132"/>
      <c r="H3" s="132"/>
      <c r="I3" s="13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71"/>
      <c r="BG3" s="72"/>
      <c r="BH3" s="73"/>
      <c r="BI3" s="74"/>
      <c r="BJ3" s="75"/>
    </row>
    <row r="4" spans="1:104" ht="30" customHeight="1" thickTop="1" x14ac:dyDescent="0.25">
      <c r="A4" s="100"/>
      <c r="B4" s="100"/>
      <c r="C4" s="100"/>
      <c r="D4" s="103"/>
      <c r="E4" s="104"/>
      <c r="F4" s="103"/>
      <c r="G4" s="104"/>
      <c r="H4" s="103"/>
      <c r="I4" s="10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71"/>
      <c r="BG4" s="72"/>
      <c r="BH4" s="73"/>
      <c r="BI4" s="74"/>
      <c r="BJ4" s="75"/>
    </row>
    <row r="5" spans="1:104" ht="30" customHeight="1" thickBot="1" x14ac:dyDescent="0.3">
      <c r="A5" s="100"/>
      <c r="B5" s="98" t="s">
        <v>2</v>
      </c>
      <c r="C5" s="98" t="s">
        <v>15</v>
      </c>
      <c r="D5" s="129" t="s">
        <v>126</v>
      </c>
      <c r="E5" s="130"/>
      <c r="F5" s="129" t="s">
        <v>125</v>
      </c>
      <c r="G5" s="130"/>
      <c r="H5" s="129" t="s">
        <v>124</v>
      </c>
      <c r="I5" s="130"/>
    </row>
    <row r="6" spans="1:104" ht="30" customHeight="1" thickTop="1" thickBot="1" x14ac:dyDescent="0.3">
      <c r="A6" s="118" t="s">
        <v>122</v>
      </c>
      <c r="B6" s="119"/>
      <c r="C6" s="119"/>
      <c r="D6" s="119"/>
      <c r="E6" s="119"/>
      <c r="F6" s="120"/>
      <c r="G6" s="120"/>
      <c r="H6" s="119"/>
      <c r="I6" s="121"/>
      <c r="J6" s="76"/>
    </row>
    <row r="7" spans="1:104" ht="30" customHeight="1" thickTop="1" x14ac:dyDescent="0.25">
      <c r="A7" s="100"/>
      <c r="B7" s="98" t="s">
        <v>112</v>
      </c>
      <c r="C7" s="98" t="s">
        <v>178</v>
      </c>
      <c r="D7" s="113" t="s">
        <v>113</v>
      </c>
      <c r="E7" s="114" t="s">
        <v>114</v>
      </c>
      <c r="F7" s="113" t="s">
        <v>115</v>
      </c>
      <c r="G7" s="114" t="s">
        <v>116</v>
      </c>
      <c r="H7" s="113" t="s">
        <v>117</v>
      </c>
      <c r="I7" s="99" t="s">
        <v>118</v>
      </c>
    </row>
    <row r="8" spans="1:104" s="51" customFormat="1" ht="30" customHeight="1" x14ac:dyDescent="0.25">
      <c r="A8" s="100"/>
      <c r="B8" s="100"/>
      <c r="C8" s="106"/>
      <c r="D8" s="103"/>
      <c r="E8" s="104"/>
      <c r="F8" s="103"/>
      <c r="G8" s="104"/>
      <c r="H8" s="103"/>
      <c r="I8" s="107"/>
      <c r="BF8" s="52"/>
      <c r="BG8" s="53"/>
      <c r="BH8" s="53"/>
      <c r="BI8" s="54"/>
      <c r="BJ8" s="49"/>
    </row>
    <row r="9" spans="1:104" s="29" customFormat="1" ht="30" customHeight="1" x14ac:dyDescent="0.25">
      <c r="A9" s="100"/>
      <c r="B9" s="100"/>
      <c r="C9" s="106"/>
      <c r="D9" s="103"/>
      <c r="E9" s="104"/>
      <c r="F9" s="103"/>
      <c r="G9" s="104"/>
      <c r="H9" s="103"/>
      <c r="I9" s="107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2"/>
      <c r="BG9" s="53"/>
      <c r="BH9" s="53"/>
      <c r="BI9" s="54"/>
      <c r="BJ9" s="49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</row>
    <row r="10" spans="1:104" s="29" customFormat="1" ht="30" customHeight="1" thickBot="1" x14ac:dyDescent="0.3">
      <c r="A10" s="100"/>
      <c r="B10" s="101" t="s">
        <v>90</v>
      </c>
      <c r="C10" s="101" t="s">
        <v>177</v>
      </c>
      <c r="D10" s="123" t="s">
        <v>132</v>
      </c>
      <c r="E10" s="124"/>
      <c r="F10" s="123" t="s">
        <v>131</v>
      </c>
      <c r="G10" s="124"/>
      <c r="H10" s="123" t="s">
        <v>120</v>
      </c>
      <c r="I10" s="12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2"/>
      <c r="BG10" s="53"/>
      <c r="BH10" s="53"/>
      <c r="BI10" s="54"/>
      <c r="BJ10" s="49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</row>
    <row r="11" spans="1:104" s="29" customFormat="1" ht="30" customHeight="1" thickBot="1" x14ac:dyDescent="0.3">
      <c r="A11" s="115" t="s">
        <v>123</v>
      </c>
      <c r="B11" s="116">
        <f>BF2</f>
        <v>0</v>
      </c>
      <c r="C11" s="117">
        <f>BG2/10</f>
        <v>2.23</v>
      </c>
      <c r="D11" s="125">
        <f>BH2</f>
        <v>0</v>
      </c>
      <c r="E11" s="126"/>
      <c r="F11" s="125">
        <f>BI2</f>
        <v>-8.2592592592592595</v>
      </c>
      <c r="G11" s="127"/>
      <c r="H11" s="128" t="str">
        <f>BJ2</f>
        <v>Hypoplastic</v>
      </c>
      <c r="I11" s="127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2"/>
      <c r="BG11" s="53"/>
      <c r="BH11" s="53"/>
      <c r="BI11" s="54"/>
      <c r="BJ11" s="49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</row>
    <row r="12" spans="1:104" s="29" customFormat="1" ht="30" customHeight="1" x14ac:dyDescent="0.25">
      <c r="A12" s="100"/>
      <c r="B12" s="101" t="s">
        <v>175</v>
      </c>
      <c r="C12" s="101" t="s">
        <v>119</v>
      </c>
      <c r="D12" s="123" t="s">
        <v>176</v>
      </c>
      <c r="E12" s="124"/>
      <c r="F12" s="123" t="s">
        <v>121</v>
      </c>
      <c r="G12" s="124"/>
      <c r="H12" s="123" t="s">
        <v>127</v>
      </c>
      <c r="I12" s="12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2"/>
      <c r="BG12" s="53"/>
      <c r="BH12" s="53"/>
      <c r="BI12" s="54"/>
      <c r="BJ12" s="49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</row>
    <row r="13" spans="1:104" s="29" customFormat="1" ht="30" customHeight="1" x14ac:dyDescent="0.25">
      <c r="A13" s="100"/>
      <c r="B13" s="100"/>
      <c r="C13" s="106"/>
      <c r="D13" s="103"/>
      <c r="E13" s="104"/>
      <c r="F13" s="103"/>
      <c r="G13" s="104"/>
      <c r="H13" s="123" t="s">
        <v>129</v>
      </c>
      <c r="I13" s="12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2"/>
      <c r="BG13" s="53"/>
      <c r="BH13" s="53"/>
      <c r="BI13" s="54"/>
      <c r="BJ13" s="49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</row>
    <row r="14" spans="1:104" s="29" customFormat="1" ht="30" customHeight="1" x14ac:dyDescent="0.25">
      <c r="A14" s="100"/>
      <c r="B14" s="100"/>
      <c r="C14" s="106"/>
      <c r="D14" s="103"/>
      <c r="E14" s="104"/>
      <c r="F14" s="103"/>
      <c r="G14" s="104"/>
      <c r="H14" s="123" t="s">
        <v>128</v>
      </c>
      <c r="I14" s="124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2"/>
      <c r="BG14" s="53"/>
      <c r="BH14" s="53"/>
      <c r="BI14" s="54"/>
      <c r="BJ14" s="49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</row>
    <row r="15" spans="1:104" s="29" customFormat="1" ht="30" customHeight="1" x14ac:dyDescent="0.25">
      <c r="A15" s="100"/>
      <c r="B15" s="100"/>
      <c r="C15" s="106"/>
      <c r="D15" s="103"/>
      <c r="E15" s="104"/>
      <c r="F15" s="103"/>
      <c r="G15" s="104"/>
      <c r="H15" s="123" t="s">
        <v>130</v>
      </c>
      <c r="I15" s="124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2"/>
      <c r="BG15" s="53"/>
      <c r="BH15" s="53"/>
      <c r="BI15" s="54"/>
      <c r="BJ15" s="49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</row>
    <row r="16" spans="1:104" s="29" customFormat="1" x14ac:dyDescent="0.25">
      <c r="A16" s="46"/>
      <c r="B16" s="46"/>
      <c r="C16" s="47"/>
      <c r="D16" s="48"/>
      <c r="E16" s="49"/>
      <c r="F16" s="48"/>
      <c r="G16" s="49"/>
      <c r="H16" s="48"/>
      <c r="I16" s="5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2"/>
      <c r="BG16" s="53"/>
      <c r="BH16" s="53"/>
      <c r="BI16" s="54"/>
      <c r="BJ16" s="49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</row>
    <row r="17" spans="1:62" s="51" customFormat="1" x14ac:dyDescent="0.25">
      <c r="A17" s="46"/>
      <c r="B17" s="46"/>
      <c r="C17" s="47"/>
      <c r="D17" s="48"/>
      <c r="E17" s="49"/>
      <c r="F17" s="48"/>
      <c r="G17" s="49"/>
      <c r="H17" s="48"/>
      <c r="I17" s="50"/>
      <c r="BF17" s="52"/>
      <c r="BG17" s="53"/>
      <c r="BH17" s="53"/>
      <c r="BI17" s="54"/>
      <c r="BJ17" s="49"/>
    </row>
    <row r="18" spans="1:62" s="51" customFormat="1" x14ac:dyDescent="0.25">
      <c r="A18" s="46"/>
      <c r="B18" s="46"/>
      <c r="C18" s="47"/>
      <c r="D18" s="48"/>
      <c r="E18" s="49"/>
      <c r="F18" s="48"/>
      <c r="G18" s="49"/>
      <c r="H18" s="48"/>
      <c r="I18" s="50"/>
      <c r="BF18" s="52"/>
      <c r="BG18" s="53"/>
      <c r="BH18" s="53"/>
      <c r="BI18" s="54"/>
      <c r="BJ18" s="49"/>
    </row>
    <row r="19" spans="1:62" s="51" customFormat="1" x14ac:dyDescent="0.25">
      <c r="A19" s="46"/>
      <c r="B19" s="46"/>
      <c r="C19" s="47"/>
      <c r="D19" s="48"/>
      <c r="E19" s="49"/>
      <c r="F19" s="48"/>
      <c r="G19" s="49"/>
      <c r="H19" s="48"/>
      <c r="I19" s="50"/>
      <c r="BF19" s="52"/>
      <c r="BG19" s="53"/>
      <c r="BH19" s="53"/>
      <c r="BI19" s="54"/>
      <c r="BJ19" s="49"/>
    </row>
    <row r="20" spans="1:62" s="51" customFormat="1" x14ac:dyDescent="0.25">
      <c r="A20" s="46"/>
      <c r="B20" s="46"/>
      <c r="C20" s="47"/>
      <c r="D20" s="48"/>
      <c r="E20" s="49"/>
      <c r="F20" s="48"/>
      <c r="G20" s="49"/>
      <c r="H20" s="48"/>
      <c r="I20" s="50"/>
      <c r="BF20" s="52"/>
      <c r="BG20" s="53"/>
      <c r="BH20" s="53"/>
      <c r="BI20" s="54"/>
      <c r="BJ20" s="49"/>
    </row>
    <row r="21" spans="1:62" s="51" customFormat="1" x14ac:dyDescent="0.25">
      <c r="A21" s="46"/>
      <c r="B21" s="46"/>
      <c r="C21" s="47"/>
      <c r="D21" s="48"/>
      <c r="E21" s="49"/>
      <c r="F21" s="48"/>
      <c r="G21" s="49"/>
      <c r="H21" s="48"/>
      <c r="I21" s="50"/>
      <c r="BF21" s="52"/>
      <c r="BG21" s="53"/>
      <c r="BH21" s="53"/>
      <c r="BI21" s="54"/>
      <c r="BJ21" s="49"/>
    </row>
    <row r="22" spans="1:62" s="51" customFormat="1" x14ac:dyDescent="0.25">
      <c r="A22" s="46"/>
      <c r="B22" s="46"/>
      <c r="C22" s="47"/>
      <c r="D22" s="48"/>
      <c r="E22" s="49"/>
      <c r="F22" s="48"/>
      <c r="G22" s="49"/>
      <c r="H22" s="48"/>
      <c r="I22" s="50"/>
      <c r="BF22" s="52"/>
      <c r="BG22" s="53"/>
      <c r="BH22" s="53"/>
      <c r="BI22" s="54"/>
      <c r="BJ22" s="49"/>
    </row>
    <row r="23" spans="1:62" s="51" customFormat="1" x14ac:dyDescent="0.25">
      <c r="A23" s="46"/>
      <c r="B23" s="46"/>
      <c r="C23" s="47"/>
      <c r="D23" s="48"/>
      <c r="E23" s="49"/>
      <c r="F23" s="48"/>
      <c r="G23" s="49"/>
      <c r="H23" s="48"/>
      <c r="I23" s="50"/>
      <c r="BF23" s="52"/>
      <c r="BG23" s="53"/>
      <c r="BH23" s="53"/>
      <c r="BI23" s="54"/>
      <c r="BJ23" s="49"/>
    </row>
    <row r="24" spans="1:62" s="51" customFormat="1" x14ac:dyDescent="0.25">
      <c r="A24" s="46"/>
      <c r="B24" s="46"/>
      <c r="C24" s="47"/>
      <c r="D24" s="48"/>
      <c r="E24" s="49"/>
      <c r="F24" s="48"/>
      <c r="G24" s="49"/>
      <c r="H24" s="48"/>
      <c r="I24" s="50"/>
      <c r="BF24" s="52"/>
      <c r="BG24" s="53"/>
      <c r="BH24" s="53"/>
      <c r="BI24" s="54"/>
      <c r="BJ24" s="49"/>
    </row>
    <row r="25" spans="1:62" s="51" customFormat="1" x14ac:dyDescent="0.25">
      <c r="A25" s="46"/>
      <c r="B25" s="46"/>
      <c r="C25" s="47"/>
      <c r="D25" s="48"/>
      <c r="E25" s="49"/>
      <c r="F25" s="48"/>
      <c r="G25" s="49"/>
      <c r="H25" s="48"/>
      <c r="I25" s="50"/>
      <c r="BF25" s="52"/>
      <c r="BG25" s="53"/>
      <c r="BH25" s="53"/>
      <c r="BI25" s="54"/>
      <c r="BJ25" s="49"/>
    </row>
    <row r="26" spans="1:62" s="51" customFormat="1" x14ac:dyDescent="0.25">
      <c r="A26" s="46"/>
      <c r="B26" s="46"/>
      <c r="C26" s="47"/>
      <c r="D26" s="48"/>
      <c r="E26" s="49"/>
      <c r="F26" s="48"/>
      <c r="G26" s="49"/>
      <c r="H26" s="48"/>
      <c r="I26" s="50"/>
      <c r="BF26" s="52"/>
      <c r="BG26" s="53"/>
      <c r="BH26" s="53"/>
      <c r="BI26" s="54"/>
      <c r="BJ26" s="49"/>
    </row>
    <row r="27" spans="1:62" s="51" customFormat="1" x14ac:dyDescent="0.25">
      <c r="A27" s="46"/>
      <c r="B27" s="46"/>
      <c r="C27" s="47"/>
      <c r="D27" s="48"/>
      <c r="E27" s="49"/>
      <c r="F27" s="48"/>
      <c r="G27" s="49"/>
      <c r="H27" s="48"/>
      <c r="I27" s="50"/>
      <c r="BF27" s="52"/>
      <c r="BG27" s="53"/>
      <c r="BH27" s="53"/>
      <c r="BI27" s="54"/>
      <c r="BJ27" s="49"/>
    </row>
    <row r="28" spans="1:62" s="51" customFormat="1" x14ac:dyDescent="0.25">
      <c r="A28" s="46"/>
      <c r="B28" s="46"/>
      <c r="C28" s="47"/>
      <c r="D28" s="48"/>
      <c r="E28" s="49"/>
      <c r="F28" s="48"/>
      <c r="G28" s="49"/>
      <c r="H28" s="48"/>
      <c r="I28" s="50"/>
      <c r="BF28" s="52"/>
      <c r="BG28" s="53"/>
      <c r="BH28" s="53"/>
      <c r="BI28" s="54"/>
      <c r="BJ28" s="49"/>
    </row>
    <row r="29" spans="1:62" s="51" customFormat="1" x14ac:dyDescent="0.25">
      <c r="A29" s="46"/>
      <c r="B29" s="46"/>
      <c r="C29" s="47"/>
      <c r="D29" s="48"/>
      <c r="E29" s="49"/>
      <c r="F29" s="48"/>
      <c r="G29" s="49"/>
      <c r="H29" s="48"/>
      <c r="I29" s="50"/>
      <c r="BF29" s="52"/>
      <c r="BG29" s="53"/>
      <c r="BH29" s="53"/>
      <c r="BI29" s="54"/>
      <c r="BJ29" s="49"/>
    </row>
    <row r="30" spans="1:62" s="51" customFormat="1" x14ac:dyDescent="0.25">
      <c r="A30" s="46"/>
      <c r="B30" s="46"/>
      <c r="C30" s="47"/>
      <c r="D30" s="48"/>
      <c r="E30" s="49"/>
      <c r="F30" s="48"/>
      <c r="G30" s="49"/>
      <c r="H30" s="48"/>
      <c r="I30" s="50"/>
      <c r="BF30" s="52"/>
      <c r="BG30" s="53"/>
      <c r="BH30" s="53"/>
      <c r="BI30" s="54"/>
      <c r="BJ30" s="49"/>
    </row>
    <row r="31" spans="1:62" s="51" customFormat="1" x14ac:dyDescent="0.25">
      <c r="A31" s="46"/>
      <c r="B31" s="46"/>
      <c r="C31" s="47"/>
      <c r="D31" s="48"/>
      <c r="E31" s="49"/>
      <c r="F31" s="48"/>
      <c r="G31" s="49"/>
      <c r="H31" s="48"/>
      <c r="I31" s="50"/>
      <c r="BF31" s="52"/>
      <c r="BG31" s="53"/>
      <c r="BH31" s="53"/>
      <c r="BI31" s="54"/>
      <c r="BJ31" s="49"/>
    </row>
    <row r="32" spans="1:62" s="51" customFormat="1" x14ac:dyDescent="0.25">
      <c r="A32" s="46"/>
      <c r="B32" s="46"/>
      <c r="C32" s="47"/>
      <c r="D32" s="48"/>
      <c r="E32" s="49"/>
      <c r="F32" s="48"/>
      <c r="G32" s="49"/>
      <c r="H32" s="48"/>
      <c r="I32" s="50"/>
      <c r="BF32" s="52"/>
      <c r="BG32" s="53"/>
      <c r="BH32" s="53"/>
      <c r="BI32" s="54"/>
      <c r="BJ32" s="49"/>
    </row>
    <row r="33" spans="1:62" s="51" customFormat="1" x14ac:dyDescent="0.25">
      <c r="A33" s="46"/>
      <c r="B33" s="46"/>
      <c r="C33" s="47"/>
      <c r="D33" s="48"/>
      <c r="E33" s="49"/>
      <c r="F33" s="48"/>
      <c r="G33" s="49"/>
      <c r="H33" s="48"/>
      <c r="I33" s="50"/>
      <c r="BF33" s="52"/>
      <c r="BG33" s="53"/>
      <c r="BH33" s="53"/>
      <c r="BI33" s="54"/>
      <c r="BJ33" s="49"/>
    </row>
    <row r="34" spans="1:62" s="51" customFormat="1" x14ac:dyDescent="0.25">
      <c r="A34" s="46"/>
      <c r="B34" s="46"/>
      <c r="C34" s="47"/>
      <c r="D34" s="48"/>
      <c r="E34" s="49"/>
      <c r="F34" s="48"/>
      <c r="G34" s="49"/>
      <c r="H34" s="48"/>
      <c r="I34" s="50"/>
      <c r="BF34" s="52"/>
      <c r="BG34" s="53"/>
      <c r="BH34" s="53"/>
      <c r="BI34" s="54"/>
      <c r="BJ34" s="49"/>
    </row>
    <row r="35" spans="1:62" s="51" customFormat="1" x14ac:dyDescent="0.25">
      <c r="A35" s="46"/>
      <c r="B35" s="46"/>
      <c r="C35" s="47"/>
      <c r="D35" s="48"/>
      <c r="E35" s="49"/>
      <c r="F35" s="48"/>
      <c r="G35" s="49"/>
      <c r="H35" s="48"/>
      <c r="I35" s="50"/>
      <c r="BF35" s="52"/>
      <c r="BG35" s="53"/>
      <c r="BH35" s="53"/>
      <c r="BI35" s="54"/>
      <c r="BJ35" s="49"/>
    </row>
    <row r="36" spans="1:62" s="51" customFormat="1" x14ac:dyDescent="0.25">
      <c r="A36" s="46"/>
      <c r="B36" s="46"/>
      <c r="C36" s="47"/>
      <c r="D36" s="48"/>
      <c r="E36" s="49"/>
      <c r="F36" s="48"/>
      <c r="G36" s="49"/>
      <c r="H36" s="48"/>
      <c r="I36" s="50"/>
      <c r="BF36" s="52"/>
      <c r="BG36" s="53"/>
      <c r="BH36" s="53"/>
      <c r="BI36" s="54"/>
      <c r="BJ36" s="49"/>
    </row>
    <row r="37" spans="1:62" s="51" customFormat="1" x14ac:dyDescent="0.25">
      <c r="A37" s="46"/>
      <c r="B37" s="46"/>
      <c r="C37" s="47"/>
      <c r="D37" s="48"/>
      <c r="E37" s="49"/>
      <c r="F37" s="48"/>
      <c r="G37" s="49"/>
      <c r="H37" s="48"/>
      <c r="I37" s="50"/>
      <c r="BF37" s="52"/>
      <c r="BG37" s="53"/>
      <c r="BH37" s="53"/>
      <c r="BI37" s="54"/>
      <c r="BJ37" s="49"/>
    </row>
    <row r="38" spans="1:62" s="51" customFormat="1" x14ac:dyDescent="0.25">
      <c r="A38" s="46"/>
      <c r="B38" s="46"/>
      <c r="C38" s="47"/>
      <c r="D38" s="48"/>
      <c r="E38" s="49"/>
      <c r="F38" s="48"/>
      <c r="G38" s="49"/>
      <c r="H38" s="48"/>
      <c r="I38" s="50"/>
      <c r="BF38" s="52"/>
      <c r="BG38" s="53"/>
      <c r="BH38" s="53"/>
      <c r="BI38" s="54"/>
      <c r="BJ38" s="49"/>
    </row>
    <row r="39" spans="1:62" s="51" customFormat="1" x14ac:dyDescent="0.25">
      <c r="A39" s="46"/>
      <c r="B39" s="46"/>
      <c r="C39" s="47"/>
      <c r="D39" s="48"/>
      <c r="E39" s="49"/>
      <c r="F39" s="48"/>
      <c r="G39" s="49"/>
      <c r="H39" s="48"/>
      <c r="I39" s="50"/>
      <c r="BF39" s="52"/>
      <c r="BG39" s="53"/>
      <c r="BH39" s="53"/>
      <c r="BI39" s="54"/>
      <c r="BJ39" s="49"/>
    </row>
    <row r="40" spans="1:62" s="51" customFormat="1" x14ac:dyDescent="0.25">
      <c r="A40" s="46"/>
      <c r="B40" s="46"/>
      <c r="C40" s="47"/>
      <c r="D40" s="48"/>
      <c r="E40" s="49"/>
      <c r="F40" s="48"/>
      <c r="G40" s="49"/>
      <c r="H40" s="48"/>
      <c r="I40" s="50"/>
      <c r="BF40" s="52"/>
      <c r="BG40" s="53"/>
      <c r="BH40" s="53"/>
      <c r="BI40" s="54"/>
      <c r="BJ40" s="49"/>
    </row>
    <row r="41" spans="1:62" s="51" customFormat="1" x14ac:dyDescent="0.25">
      <c r="A41" s="46"/>
      <c r="B41" s="46"/>
      <c r="C41" s="47"/>
      <c r="D41" s="48"/>
      <c r="E41" s="49"/>
      <c r="F41" s="48"/>
      <c r="G41" s="49"/>
      <c r="H41" s="48"/>
      <c r="I41" s="50"/>
      <c r="BF41" s="52"/>
      <c r="BG41" s="53"/>
      <c r="BH41" s="53"/>
      <c r="BI41" s="54"/>
      <c r="BJ41" s="49"/>
    </row>
    <row r="42" spans="1:62" s="51" customFormat="1" x14ac:dyDescent="0.25">
      <c r="A42" s="46"/>
      <c r="B42" s="46"/>
      <c r="C42" s="47"/>
      <c r="D42" s="48"/>
      <c r="E42" s="49"/>
      <c r="F42" s="48"/>
      <c r="G42" s="49"/>
      <c r="H42" s="48"/>
      <c r="I42" s="50"/>
      <c r="BF42" s="52"/>
      <c r="BG42" s="53"/>
      <c r="BH42" s="53"/>
      <c r="BI42" s="54"/>
      <c r="BJ42" s="49"/>
    </row>
    <row r="43" spans="1:62" s="51" customFormat="1" x14ac:dyDescent="0.25">
      <c r="A43" s="46"/>
      <c r="B43" s="46"/>
      <c r="C43" s="47"/>
      <c r="D43" s="48"/>
      <c r="E43" s="49"/>
      <c r="F43" s="48"/>
      <c r="G43" s="49"/>
      <c r="H43" s="48"/>
      <c r="I43" s="50"/>
      <c r="BF43" s="52"/>
      <c r="BG43" s="53"/>
      <c r="BH43" s="53"/>
      <c r="BI43" s="54"/>
      <c r="BJ43" s="49"/>
    </row>
    <row r="44" spans="1:62" s="51" customFormat="1" x14ac:dyDescent="0.25">
      <c r="A44" s="46"/>
      <c r="B44" s="46"/>
      <c r="C44" s="47"/>
      <c r="D44" s="48"/>
      <c r="E44" s="49"/>
      <c r="F44" s="48"/>
      <c r="G44" s="49"/>
      <c r="H44" s="48"/>
      <c r="I44" s="50"/>
      <c r="BF44" s="52"/>
      <c r="BG44" s="53"/>
      <c r="BH44" s="53"/>
      <c r="BI44" s="54"/>
      <c r="BJ44" s="49"/>
    </row>
    <row r="45" spans="1:62" s="51" customFormat="1" x14ac:dyDescent="0.25">
      <c r="A45" s="46"/>
      <c r="B45" s="46"/>
      <c r="C45" s="47"/>
      <c r="D45" s="48"/>
      <c r="E45" s="49"/>
      <c r="F45" s="48"/>
      <c r="G45" s="49"/>
      <c r="H45" s="48"/>
      <c r="I45" s="50"/>
      <c r="BF45" s="52"/>
      <c r="BG45" s="53"/>
      <c r="BH45" s="53"/>
      <c r="BI45" s="54"/>
      <c r="BJ45" s="49"/>
    </row>
    <row r="46" spans="1:62" s="51" customFormat="1" x14ac:dyDescent="0.25">
      <c r="A46" s="46"/>
      <c r="B46" s="46"/>
      <c r="C46" s="47"/>
      <c r="D46" s="48"/>
      <c r="E46" s="49"/>
      <c r="F46" s="48"/>
      <c r="G46" s="49"/>
      <c r="H46" s="48"/>
      <c r="I46" s="50"/>
      <c r="BF46" s="52"/>
      <c r="BG46" s="53"/>
      <c r="BH46" s="53"/>
      <c r="BI46" s="54"/>
      <c r="BJ46" s="49"/>
    </row>
    <row r="47" spans="1:62" s="51" customFormat="1" x14ac:dyDescent="0.25">
      <c r="A47" s="46"/>
      <c r="B47" s="46"/>
      <c r="C47" s="47"/>
      <c r="D47" s="48"/>
      <c r="E47" s="49"/>
      <c r="F47" s="48"/>
      <c r="G47" s="49"/>
      <c r="H47" s="48"/>
      <c r="I47" s="50"/>
      <c r="BF47" s="52"/>
      <c r="BG47" s="53"/>
      <c r="BH47" s="53"/>
      <c r="BI47" s="54"/>
      <c r="BJ47" s="49"/>
    </row>
    <row r="48" spans="1:62" s="51" customFormat="1" x14ac:dyDescent="0.25">
      <c r="A48" s="46"/>
      <c r="B48" s="46"/>
      <c r="C48" s="47"/>
      <c r="D48" s="48"/>
      <c r="E48" s="49"/>
      <c r="F48" s="48"/>
      <c r="G48" s="49"/>
      <c r="H48" s="48"/>
      <c r="I48" s="50"/>
      <c r="BF48" s="52"/>
      <c r="BG48" s="53"/>
      <c r="BH48" s="53"/>
      <c r="BI48" s="54"/>
      <c r="BJ48" s="49"/>
    </row>
    <row r="49" spans="1:62" s="51" customFormat="1" x14ac:dyDescent="0.25">
      <c r="A49" s="46"/>
      <c r="B49" s="46"/>
      <c r="C49" s="47"/>
      <c r="D49" s="48"/>
      <c r="E49" s="49"/>
      <c r="F49" s="48"/>
      <c r="G49" s="49"/>
      <c r="H49" s="48"/>
      <c r="I49" s="50"/>
      <c r="BF49" s="52"/>
      <c r="BG49" s="53"/>
      <c r="BH49" s="53"/>
      <c r="BI49" s="54"/>
      <c r="BJ49" s="49"/>
    </row>
    <row r="50" spans="1:62" s="51" customFormat="1" x14ac:dyDescent="0.25">
      <c r="A50" s="46"/>
      <c r="B50" s="46"/>
      <c r="C50" s="47"/>
      <c r="D50" s="48"/>
      <c r="E50" s="49"/>
      <c r="F50" s="48"/>
      <c r="G50" s="49"/>
      <c r="H50" s="48"/>
      <c r="I50" s="50"/>
      <c r="BF50" s="52"/>
      <c r="BG50" s="53"/>
      <c r="BH50" s="53"/>
      <c r="BI50" s="54"/>
      <c r="BJ50" s="49"/>
    </row>
    <row r="51" spans="1:62" s="51" customFormat="1" x14ac:dyDescent="0.25">
      <c r="A51" s="46"/>
      <c r="B51" s="46"/>
      <c r="C51" s="47"/>
      <c r="D51" s="48"/>
      <c r="E51" s="49"/>
      <c r="F51" s="48"/>
      <c r="G51" s="49"/>
      <c r="H51" s="48"/>
      <c r="I51" s="50"/>
      <c r="BF51" s="52"/>
      <c r="BG51" s="53"/>
      <c r="BH51" s="53"/>
      <c r="BI51" s="54"/>
      <c r="BJ51" s="49"/>
    </row>
    <row r="52" spans="1:62" s="51" customFormat="1" x14ac:dyDescent="0.25">
      <c r="A52" s="46"/>
      <c r="B52" s="46"/>
      <c r="C52" s="47"/>
      <c r="D52" s="48"/>
      <c r="E52" s="49"/>
      <c r="F52" s="48"/>
      <c r="G52" s="49"/>
      <c r="H52" s="48"/>
      <c r="I52" s="50"/>
      <c r="BF52" s="52"/>
      <c r="BG52" s="53"/>
      <c r="BH52" s="53"/>
      <c r="BI52" s="54"/>
      <c r="BJ52" s="49"/>
    </row>
    <row r="53" spans="1:62" s="51" customFormat="1" x14ac:dyDescent="0.25">
      <c r="A53" s="46"/>
      <c r="B53" s="46"/>
      <c r="C53" s="47"/>
      <c r="D53" s="48"/>
      <c r="E53" s="49"/>
      <c r="F53" s="48"/>
      <c r="G53" s="49"/>
      <c r="H53" s="48"/>
      <c r="I53" s="50"/>
      <c r="BF53" s="52"/>
      <c r="BG53" s="53"/>
      <c r="BH53" s="53"/>
      <c r="BI53" s="54"/>
      <c r="BJ53" s="49"/>
    </row>
    <row r="54" spans="1:62" s="51" customFormat="1" x14ac:dyDescent="0.25">
      <c r="A54" s="46"/>
      <c r="B54" s="46"/>
      <c r="C54" s="47"/>
      <c r="D54" s="48"/>
      <c r="E54" s="49"/>
      <c r="F54" s="48"/>
      <c r="G54" s="49"/>
      <c r="H54" s="48"/>
      <c r="I54" s="50"/>
      <c r="BF54" s="52"/>
      <c r="BG54" s="53"/>
      <c r="BH54" s="53"/>
      <c r="BI54" s="54"/>
      <c r="BJ54" s="49"/>
    </row>
    <row r="55" spans="1:62" s="51" customFormat="1" x14ac:dyDescent="0.25">
      <c r="A55" s="46"/>
      <c r="B55" s="46"/>
      <c r="C55" s="47"/>
      <c r="D55" s="48"/>
      <c r="E55" s="49"/>
      <c r="F55" s="48"/>
      <c r="G55" s="49"/>
      <c r="H55" s="48"/>
      <c r="I55" s="50"/>
      <c r="BF55" s="52"/>
      <c r="BG55" s="53"/>
      <c r="BH55" s="53"/>
      <c r="BI55" s="54"/>
      <c r="BJ55" s="49"/>
    </row>
    <row r="56" spans="1:62" s="51" customFormat="1" x14ac:dyDescent="0.25">
      <c r="A56" s="46"/>
      <c r="B56" s="46"/>
      <c r="C56" s="47"/>
      <c r="D56" s="48"/>
      <c r="E56" s="49"/>
      <c r="F56" s="48"/>
      <c r="G56" s="49"/>
      <c r="H56" s="48"/>
      <c r="I56" s="50"/>
      <c r="BF56" s="52"/>
      <c r="BG56" s="53"/>
      <c r="BH56" s="53"/>
      <c r="BI56" s="54"/>
      <c r="BJ56" s="49"/>
    </row>
    <row r="57" spans="1:62" s="51" customFormat="1" x14ac:dyDescent="0.25">
      <c r="A57" s="46"/>
      <c r="B57" s="46"/>
      <c r="C57" s="47"/>
      <c r="D57" s="48"/>
      <c r="E57" s="49"/>
      <c r="F57" s="48"/>
      <c r="G57" s="49"/>
      <c r="H57" s="48"/>
      <c r="I57" s="50"/>
      <c r="BF57" s="52"/>
      <c r="BG57" s="53"/>
      <c r="BH57" s="53"/>
      <c r="BI57" s="54"/>
      <c r="BJ57" s="49"/>
    </row>
    <row r="58" spans="1:62" s="51" customFormat="1" x14ac:dyDescent="0.25">
      <c r="A58" s="46"/>
      <c r="B58" s="46"/>
      <c r="C58" s="47"/>
      <c r="D58" s="48"/>
      <c r="E58" s="49"/>
      <c r="F58" s="48"/>
      <c r="G58" s="49"/>
      <c r="H58" s="48"/>
      <c r="I58" s="50"/>
      <c r="BF58" s="52"/>
      <c r="BG58" s="53"/>
      <c r="BH58" s="53"/>
      <c r="BI58" s="54"/>
      <c r="BJ58" s="49"/>
    </row>
    <row r="59" spans="1:62" s="51" customFormat="1" x14ac:dyDescent="0.25">
      <c r="A59" s="46"/>
      <c r="B59" s="46"/>
      <c r="C59" s="47"/>
      <c r="D59" s="48"/>
      <c r="E59" s="49"/>
      <c r="F59" s="48"/>
      <c r="G59" s="49"/>
      <c r="H59" s="48"/>
      <c r="I59" s="50"/>
      <c r="BF59" s="52"/>
      <c r="BG59" s="53"/>
      <c r="BH59" s="53"/>
      <c r="BI59" s="54"/>
      <c r="BJ59" s="49"/>
    </row>
    <row r="60" spans="1:62" s="51" customFormat="1" x14ac:dyDescent="0.25">
      <c r="A60" s="46"/>
      <c r="B60" s="46"/>
      <c r="C60" s="47"/>
      <c r="D60" s="48"/>
      <c r="E60" s="49"/>
      <c r="F60" s="48"/>
      <c r="G60" s="49"/>
      <c r="H60" s="48"/>
      <c r="I60" s="50"/>
      <c r="BF60" s="52"/>
      <c r="BG60" s="53"/>
      <c r="BH60" s="53"/>
      <c r="BI60" s="54"/>
      <c r="BJ60" s="49"/>
    </row>
    <row r="61" spans="1:62" s="51" customFormat="1" x14ac:dyDescent="0.25">
      <c r="A61" s="46"/>
      <c r="B61" s="46"/>
      <c r="C61" s="47"/>
      <c r="D61" s="48"/>
      <c r="E61" s="49"/>
      <c r="F61" s="48"/>
      <c r="G61" s="49"/>
      <c r="H61" s="48"/>
      <c r="I61" s="50"/>
      <c r="BF61" s="52"/>
      <c r="BG61" s="53"/>
      <c r="BH61" s="53"/>
      <c r="BI61" s="54"/>
      <c r="BJ61" s="49"/>
    </row>
    <row r="62" spans="1:62" s="51" customFormat="1" x14ac:dyDescent="0.25">
      <c r="A62" s="46"/>
      <c r="B62" s="46"/>
      <c r="C62" s="47"/>
      <c r="D62" s="48"/>
      <c r="E62" s="49"/>
      <c r="F62" s="48"/>
      <c r="G62" s="49"/>
      <c r="H62" s="48"/>
      <c r="I62" s="50"/>
      <c r="BF62" s="52"/>
      <c r="BG62" s="53"/>
      <c r="BH62" s="53"/>
      <c r="BI62" s="54"/>
      <c r="BJ62" s="49"/>
    </row>
    <row r="63" spans="1:62" s="51" customFormat="1" x14ac:dyDescent="0.25">
      <c r="A63" s="46"/>
      <c r="B63" s="46"/>
      <c r="C63" s="47"/>
      <c r="D63" s="48"/>
      <c r="E63" s="49"/>
      <c r="F63" s="48"/>
      <c r="G63" s="49"/>
      <c r="H63" s="48"/>
      <c r="I63" s="50"/>
      <c r="BF63" s="52"/>
      <c r="BG63" s="53"/>
      <c r="BH63" s="53"/>
      <c r="BI63" s="54"/>
      <c r="BJ63" s="49"/>
    </row>
    <row r="64" spans="1:62" s="51" customFormat="1" x14ac:dyDescent="0.25">
      <c r="A64" s="46"/>
      <c r="B64" s="46"/>
      <c r="C64" s="47"/>
      <c r="D64" s="48"/>
      <c r="E64" s="49"/>
      <c r="F64" s="48"/>
      <c r="G64" s="49"/>
      <c r="H64" s="48"/>
      <c r="I64" s="50"/>
      <c r="BF64" s="52"/>
      <c r="BG64" s="53"/>
      <c r="BH64" s="53"/>
      <c r="BI64" s="54"/>
      <c r="BJ64" s="49"/>
    </row>
    <row r="65" spans="1:62" s="51" customFormat="1" x14ac:dyDescent="0.25">
      <c r="A65" s="46"/>
      <c r="B65" s="46"/>
      <c r="C65" s="47"/>
      <c r="D65" s="48"/>
      <c r="E65" s="49"/>
      <c r="F65" s="48"/>
      <c r="G65" s="49"/>
      <c r="H65" s="48"/>
      <c r="I65" s="50"/>
      <c r="BF65" s="52"/>
      <c r="BG65" s="53"/>
      <c r="BH65" s="53"/>
      <c r="BI65" s="54"/>
      <c r="BJ65" s="49"/>
    </row>
    <row r="66" spans="1:62" s="51" customFormat="1" x14ac:dyDescent="0.25">
      <c r="A66" s="46"/>
      <c r="B66" s="46"/>
      <c r="C66" s="47"/>
      <c r="D66" s="48"/>
      <c r="E66" s="49"/>
      <c r="F66" s="48"/>
      <c r="G66" s="49"/>
      <c r="H66" s="48"/>
      <c r="I66" s="50"/>
      <c r="BF66" s="52"/>
      <c r="BG66" s="53"/>
      <c r="BH66" s="53"/>
      <c r="BI66" s="54"/>
      <c r="BJ66" s="49"/>
    </row>
    <row r="67" spans="1:62" s="51" customFormat="1" x14ac:dyDescent="0.25">
      <c r="A67" s="46"/>
      <c r="B67" s="46"/>
      <c r="C67" s="47"/>
      <c r="D67" s="48"/>
      <c r="E67" s="49"/>
      <c r="F67" s="48"/>
      <c r="G67" s="49"/>
      <c r="H67" s="48"/>
      <c r="I67" s="50"/>
      <c r="BF67" s="52"/>
      <c r="BG67" s="53"/>
      <c r="BH67" s="53"/>
      <c r="BI67" s="54"/>
      <c r="BJ67" s="49"/>
    </row>
    <row r="68" spans="1:62" s="51" customFormat="1" x14ac:dyDescent="0.25">
      <c r="A68" s="46"/>
      <c r="B68" s="46"/>
      <c r="C68" s="47"/>
      <c r="D68" s="48"/>
      <c r="E68" s="49"/>
      <c r="F68" s="48"/>
      <c r="G68" s="49"/>
      <c r="H68" s="48"/>
      <c r="I68" s="50"/>
      <c r="BF68" s="52"/>
      <c r="BG68" s="53"/>
      <c r="BH68" s="53"/>
      <c r="BI68" s="54"/>
      <c r="BJ68" s="49"/>
    </row>
    <row r="69" spans="1:62" s="51" customFormat="1" x14ac:dyDescent="0.25">
      <c r="A69" s="46"/>
      <c r="B69" s="46"/>
      <c r="C69" s="47"/>
      <c r="D69" s="48"/>
      <c r="E69" s="49"/>
      <c r="F69" s="48"/>
      <c r="G69" s="49"/>
      <c r="H69" s="48"/>
      <c r="I69" s="50"/>
      <c r="BF69" s="52"/>
      <c r="BG69" s="53"/>
      <c r="BH69" s="53"/>
      <c r="BI69" s="54"/>
      <c r="BJ69" s="49"/>
    </row>
    <row r="70" spans="1:62" s="51" customFormat="1" x14ac:dyDescent="0.25">
      <c r="A70" s="46"/>
      <c r="B70" s="46"/>
      <c r="C70" s="47"/>
      <c r="D70" s="48"/>
      <c r="E70" s="49"/>
      <c r="F70" s="48"/>
      <c r="G70" s="49"/>
      <c r="H70" s="48"/>
      <c r="I70" s="50"/>
      <c r="BF70" s="52"/>
      <c r="BG70" s="53"/>
      <c r="BH70" s="53"/>
      <c r="BI70" s="54"/>
      <c r="BJ70" s="49"/>
    </row>
    <row r="71" spans="1:62" s="51" customFormat="1" x14ac:dyDescent="0.25">
      <c r="A71" s="46"/>
      <c r="B71" s="46"/>
      <c r="C71" s="47"/>
      <c r="D71" s="48"/>
      <c r="E71" s="49"/>
      <c r="F71" s="48"/>
      <c r="G71" s="49"/>
      <c r="H71" s="48"/>
      <c r="I71" s="50"/>
      <c r="BF71" s="52"/>
      <c r="BG71" s="53"/>
      <c r="BH71" s="53"/>
      <c r="BI71" s="54"/>
      <c r="BJ71" s="49"/>
    </row>
    <row r="72" spans="1:62" s="51" customFormat="1" x14ac:dyDescent="0.25">
      <c r="A72" s="46"/>
      <c r="B72" s="46"/>
      <c r="C72" s="47"/>
      <c r="D72" s="48"/>
      <c r="E72" s="49"/>
      <c r="F72" s="48"/>
      <c r="G72" s="49"/>
      <c r="H72" s="48"/>
      <c r="I72" s="50"/>
      <c r="BF72" s="52"/>
      <c r="BG72" s="53"/>
      <c r="BH72" s="53"/>
      <c r="BI72" s="54"/>
      <c r="BJ72" s="49"/>
    </row>
    <row r="73" spans="1:62" s="51" customFormat="1" x14ac:dyDescent="0.25">
      <c r="A73" s="46"/>
      <c r="B73" s="46"/>
      <c r="C73" s="47"/>
      <c r="D73" s="48"/>
      <c r="E73" s="49"/>
      <c r="F73" s="48"/>
      <c r="G73" s="49"/>
      <c r="H73" s="48"/>
      <c r="I73" s="50"/>
      <c r="BF73" s="52"/>
      <c r="BG73" s="53"/>
      <c r="BH73" s="53"/>
      <c r="BI73" s="54"/>
      <c r="BJ73" s="49"/>
    </row>
    <row r="74" spans="1:62" s="51" customFormat="1" x14ac:dyDescent="0.25">
      <c r="A74" s="46"/>
      <c r="B74" s="46"/>
      <c r="C74" s="47"/>
      <c r="D74" s="48"/>
      <c r="E74" s="49"/>
      <c r="F74" s="48"/>
      <c r="G74" s="49"/>
      <c r="H74" s="48"/>
      <c r="I74" s="50"/>
      <c r="BF74" s="52"/>
      <c r="BG74" s="53"/>
      <c r="BH74" s="53"/>
      <c r="BI74" s="54"/>
      <c r="BJ74" s="49"/>
    </row>
    <row r="75" spans="1:62" s="51" customFormat="1" x14ac:dyDescent="0.25">
      <c r="A75" s="46"/>
      <c r="B75" s="46"/>
      <c r="C75" s="47"/>
      <c r="D75" s="48"/>
      <c r="E75" s="49"/>
      <c r="F75" s="48"/>
      <c r="G75" s="49"/>
      <c r="H75" s="48"/>
      <c r="I75" s="50"/>
      <c r="BF75" s="52"/>
      <c r="BG75" s="53"/>
      <c r="BH75" s="53"/>
      <c r="BI75" s="54"/>
      <c r="BJ75" s="49"/>
    </row>
    <row r="76" spans="1:62" s="51" customFormat="1" x14ac:dyDescent="0.25">
      <c r="A76" s="46"/>
      <c r="B76" s="46"/>
      <c r="C76" s="47"/>
      <c r="D76" s="48"/>
      <c r="E76" s="49"/>
      <c r="F76" s="48"/>
      <c r="G76" s="49"/>
      <c r="H76" s="48"/>
      <c r="I76" s="50"/>
      <c r="BF76" s="52"/>
      <c r="BG76" s="53"/>
      <c r="BH76" s="53"/>
      <c r="BI76" s="54"/>
      <c r="BJ76" s="49"/>
    </row>
    <row r="77" spans="1:62" s="51" customFormat="1" x14ac:dyDescent="0.25">
      <c r="A77" s="46"/>
      <c r="B77" s="46"/>
      <c r="C77" s="47"/>
      <c r="D77" s="48"/>
      <c r="E77" s="49"/>
      <c r="F77" s="48"/>
      <c r="G77" s="49"/>
      <c r="H77" s="48"/>
      <c r="I77" s="50"/>
      <c r="BF77" s="52"/>
      <c r="BG77" s="53"/>
      <c r="BH77" s="53"/>
      <c r="BI77" s="54"/>
      <c r="BJ77" s="49"/>
    </row>
    <row r="78" spans="1:62" s="51" customFormat="1" x14ac:dyDescent="0.25">
      <c r="A78" s="46"/>
      <c r="B78" s="46"/>
      <c r="C78" s="47"/>
      <c r="D78" s="48"/>
      <c r="E78" s="49"/>
      <c r="F78" s="48"/>
      <c r="G78" s="49"/>
      <c r="H78" s="48"/>
      <c r="I78" s="50"/>
      <c r="BF78" s="52"/>
      <c r="BG78" s="53"/>
      <c r="BH78" s="53"/>
      <c r="BI78" s="54"/>
      <c r="BJ78" s="49"/>
    </row>
    <row r="79" spans="1:62" s="51" customFormat="1" x14ac:dyDescent="0.25">
      <c r="A79" s="46"/>
      <c r="B79" s="46"/>
      <c r="C79" s="47"/>
      <c r="D79" s="48"/>
      <c r="E79" s="49"/>
      <c r="F79" s="48"/>
      <c r="G79" s="49"/>
      <c r="H79" s="48"/>
      <c r="I79" s="50"/>
      <c r="BF79" s="52"/>
      <c r="BG79" s="53"/>
      <c r="BH79" s="53"/>
      <c r="BI79" s="54"/>
      <c r="BJ79" s="49"/>
    </row>
    <row r="80" spans="1:62" s="51" customFormat="1" x14ac:dyDescent="0.25">
      <c r="A80" s="46"/>
      <c r="B80" s="46"/>
      <c r="C80" s="47"/>
      <c r="D80" s="48"/>
      <c r="E80" s="49"/>
      <c r="F80" s="48"/>
      <c r="G80" s="49"/>
      <c r="H80" s="48"/>
      <c r="I80" s="50"/>
      <c r="BF80" s="52"/>
      <c r="BG80" s="53"/>
      <c r="BH80" s="53"/>
      <c r="BI80" s="54"/>
      <c r="BJ80" s="49"/>
    </row>
    <row r="81" spans="1:62" s="51" customFormat="1" x14ac:dyDescent="0.25">
      <c r="A81" s="46"/>
      <c r="B81" s="46"/>
      <c r="C81" s="47"/>
      <c r="D81" s="48"/>
      <c r="E81" s="49"/>
      <c r="F81" s="48"/>
      <c r="G81" s="49"/>
      <c r="H81" s="48"/>
      <c r="I81" s="50"/>
      <c r="BF81" s="52"/>
      <c r="BG81" s="53"/>
      <c r="BH81" s="53"/>
      <c r="BI81" s="54"/>
      <c r="BJ81" s="49"/>
    </row>
    <row r="82" spans="1:62" s="51" customFormat="1" x14ac:dyDescent="0.25">
      <c r="A82" s="46"/>
      <c r="B82" s="46"/>
      <c r="C82" s="47"/>
      <c r="D82" s="48"/>
      <c r="E82" s="49"/>
      <c r="F82" s="48"/>
      <c r="G82" s="49"/>
      <c r="H82" s="48"/>
      <c r="I82" s="50"/>
      <c r="BF82" s="52"/>
      <c r="BG82" s="53"/>
      <c r="BH82" s="53"/>
      <c r="BI82" s="54"/>
      <c r="BJ82" s="49"/>
    </row>
    <row r="83" spans="1:62" s="51" customFormat="1" x14ac:dyDescent="0.25">
      <c r="A83" s="46"/>
      <c r="B83" s="46"/>
      <c r="C83" s="47"/>
      <c r="D83" s="48"/>
      <c r="E83" s="49"/>
      <c r="F83" s="48"/>
      <c r="G83" s="49"/>
      <c r="H83" s="48"/>
      <c r="I83" s="50"/>
      <c r="BF83" s="52"/>
      <c r="BG83" s="53"/>
      <c r="BH83" s="53"/>
      <c r="BI83" s="54"/>
      <c r="BJ83" s="49"/>
    </row>
    <row r="84" spans="1:62" s="51" customFormat="1" x14ac:dyDescent="0.25">
      <c r="A84" s="46"/>
      <c r="B84" s="46"/>
      <c r="C84" s="47"/>
      <c r="D84" s="48"/>
      <c r="E84" s="49"/>
      <c r="F84" s="48"/>
      <c r="G84" s="49"/>
      <c r="H84" s="48"/>
      <c r="I84" s="50"/>
      <c r="BF84" s="52"/>
      <c r="BG84" s="53"/>
      <c r="BH84" s="53"/>
      <c r="BI84" s="54"/>
      <c r="BJ84" s="49"/>
    </row>
    <row r="85" spans="1:62" s="51" customFormat="1" x14ac:dyDescent="0.25">
      <c r="A85" s="46"/>
      <c r="B85" s="46"/>
      <c r="C85" s="47"/>
      <c r="D85" s="48"/>
      <c r="E85" s="49"/>
      <c r="F85" s="48"/>
      <c r="G85" s="49"/>
      <c r="H85" s="48"/>
      <c r="I85" s="50"/>
      <c r="BF85" s="52"/>
      <c r="BG85" s="53"/>
      <c r="BH85" s="53"/>
      <c r="BI85" s="54"/>
      <c r="BJ85" s="49"/>
    </row>
    <row r="86" spans="1:62" s="51" customFormat="1" x14ac:dyDescent="0.25">
      <c r="A86" s="46"/>
      <c r="B86" s="46"/>
      <c r="C86" s="47"/>
      <c r="D86" s="48"/>
      <c r="E86" s="49"/>
      <c r="F86" s="48"/>
      <c r="G86" s="49"/>
      <c r="H86" s="48"/>
      <c r="I86" s="50"/>
      <c r="BF86" s="52"/>
      <c r="BG86" s="53"/>
      <c r="BH86" s="53"/>
      <c r="BI86" s="54"/>
      <c r="BJ86" s="49"/>
    </row>
    <row r="87" spans="1:62" s="51" customFormat="1" x14ac:dyDescent="0.25">
      <c r="A87" s="46"/>
      <c r="B87" s="46"/>
      <c r="C87" s="47"/>
      <c r="D87" s="48"/>
      <c r="E87" s="49"/>
      <c r="F87" s="48"/>
      <c r="G87" s="49"/>
      <c r="H87" s="48"/>
      <c r="I87" s="50"/>
      <c r="BF87" s="52"/>
      <c r="BG87" s="53"/>
      <c r="BH87" s="53"/>
      <c r="BI87" s="54"/>
      <c r="BJ87" s="49"/>
    </row>
    <row r="88" spans="1:62" s="51" customFormat="1" x14ac:dyDescent="0.25">
      <c r="A88" s="46"/>
      <c r="B88" s="46"/>
      <c r="C88" s="47"/>
      <c r="D88" s="48"/>
      <c r="E88" s="49"/>
      <c r="F88" s="48"/>
      <c r="G88" s="49"/>
      <c r="H88" s="48"/>
      <c r="I88" s="50"/>
      <c r="BF88" s="52"/>
      <c r="BG88" s="53"/>
      <c r="BH88" s="53"/>
      <c r="BI88" s="54"/>
      <c r="BJ88" s="49"/>
    </row>
    <row r="89" spans="1:62" s="51" customFormat="1" x14ac:dyDescent="0.25">
      <c r="A89" s="46"/>
      <c r="B89" s="46"/>
      <c r="C89" s="47"/>
      <c r="D89" s="48"/>
      <c r="E89" s="49"/>
      <c r="F89" s="48"/>
      <c r="G89" s="49"/>
      <c r="H89" s="48"/>
      <c r="I89" s="50"/>
      <c r="BF89" s="52"/>
      <c r="BG89" s="53"/>
      <c r="BH89" s="53"/>
      <c r="BI89" s="54"/>
      <c r="BJ89" s="49"/>
    </row>
    <row r="90" spans="1:62" s="51" customFormat="1" x14ac:dyDescent="0.25">
      <c r="A90" s="46"/>
      <c r="B90" s="46"/>
      <c r="C90" s="47"/>
      <c r="D90" s="48"/>
      <c r="E90" s="49"/>
      <c r="F90" s="48"/>
      <c r="G90" s="49"/>
      <c r="H90" s="48"/>
      <c r="I90" s="50"/>
      <c r="BF90" s="52"/>
      <c r="BG90" s="53"/>
      <c r="BH90" s="53"/>
      <c r="BI90" s="54"/>
      <c r="BJ90" s="49"/>
    </row>
    <row r="91" spans="1:62" s="51" customFormat="1" x14ac:dyDescent="0.25">
      <c r="A91" s="46"/>
      <c r="B91" s="46"/>
      <c r="C91" s="47"/>
      <c r="D91" s="48"/>
      <c r="E91" s="49"/>
      <c r="F91" s="48"/>
      <c r="G91" s="49"/>
      <c r="H91" s="48"/>
      <c r="I91" s="50"/>
      <c r="BF91" s="52"/>
      <c r="BG91" s="53"/>
      <c r="BH91" s="53"/>
      <c r="BI91" s="54"/>
      <c r="BJ91" s="49"/>
    </row>
    <row r="92" spans="1:62" s="51" customFormat="1" x14ac:dyDescent="0.25">
      <c r="A92" s="46"/>
      <c r="B92" s="46"/>
      <c r="C92" s="47"/>
      <c r="D92" s="48"/>
      <c r="E92" s="49"/>
      <c r="F92" s="48"/>
      <c r="G92" s="49"/>
      <c r="H92" s="48"/>
      <c r="I92" s="50"/>
      <c r="BF92" s="52"/>
      <c r="BG92" s="53"/>
      <c r="BH92" s="53"/>
      <c r="BI92" s="54"/>
      <c r="BJ92" s="49"/>
    </row>
    <row r="93" spans="1:62" s="51" customFormat="1" x14ac:dyDescent="0.25">
      <c r="A93" s="46"/>
      <c r="B93" s="46"/>
      <c r="C93" s="47"/>
      <c r="D93" s="48"/>
      <c r="E93" s="49"/>
      <c r="F93" s="48"/>
      <c r="G93" s="49"/>
      <c r="H93" s="48"/>
      <c r="I93" s="50"/>
      <c r="BF93" s="52"/>
      <c r="BG93" s="53"/>
      <c r="BH93" s="53"/>
      <c r="BI93" s="54"/>
      <c r="BJ93" s="49"/>
    </row>
    <row r="94" spans="1:62" s="51" customFormat="1" x14ac:dyDescent="0.25">
      <c r="A94" s="46"/>
      <c r="B94" s="46"/>
      <c r="C94" s="47"/>
      <c r="D94" s="48"/>
      <c r="E94" s="49"/>
      <c r="F94" s="48"/>
      <c r="G94" s="49"/>
      <c r="H94" s="48"/>
      <c r="I94" s="50"/>
      <c r="BF94" s="52"/>
      <c r="BG94" s="53"/>
      <c r="BH94" s="53"/>
      <c r="BI94" s="54"/>
      <c r="BJ94" s="49"/>
    </row>
    <row r="95" spans="1:62" s="51" customFormat="1" x14ac:dyDescent="0.25">
      <c r="A95" s="46"/>
      <c r="B95" s="46"/>
      <c r="C95" s="47"/>
      <c r="D95" s="48"/>
      <c r="E95" s="49"/>
      <c r="F95" s="48"/>
      <c r="G95" s="49"/>
      <c r="H95" s="48"/>
      <c r="I95" s="50"/>
      <c r="BF95" s="52"/>
      <c r="BG95" s="53"/>
      <c r="BH95" s="53"/>
      <c r="BI95" s="54"/>
      <c r="BJ95" s="49"/>
    </row>
    <row r="96" spans="1:62" s="51" customFormat="1" x14ac:dyDescent="0.25">
      <c r="A96" s="46"/>
      <c r="B96" s="46"/>
      <c r="C96" s="47"/>
      <c r="D96" s="48"/>
      <c r="E96" s="49"/>
      <c r="F96" s="48"/>
      <c r="G96" s="49"/>
      <c r="H96" s="48"/>
      <c r="I96" s="50"/>
      <c r="BF96" s="52"/>
      <c r="BG96" s="53"/>
      <c r="BH96" s="53"/>
      <c r="BI96" s="54"/>
      <c r="BJ96" s="49"/>
    </row>
    <row r="97" spans="1:62" s="51" customFormat="1" x14ac:dyDescent="0.25">
      <c r="A97" s="46"/>
      <c r="B97" s="46"/>
      <c r="C97" s="47"/>
      <c r="D97" s="48"/>
      <c r="E97" s="49"/>
      <c r="F97" s="48"/>
      <c r="G97" s="49"/>
      <c r="H97" s="48"/>
      <c r="I97" s="50"/>
      <c r="BF97" s="52"/>
      <c r="BG97" s="53"/>
      <c r="BH97" s="53"/>
      <c r="BI97" s="54"/>
      <c r="BJ97" s="49"/>
    </row>
    <row r="98" spans="1:62" s="51" customFormat="1" x14ac:dyDescent="0.25">
      <c r="A98" s="46"/>
      <c r="B98" s="46"/>
      <c r="C98" s="47"/>
      <c r="D98" s="48"/>
      <c r="E98" s="49"/>
      <c r="F98" s="48"/>
      <c r="G98" s="49"/>
      <c r="H98" s="48"/>
      <c r="I98" s="50"/>
      <c r="BF98" s="52"/>
      <c r="BG98" s="53"/>
      <c r="BH98" s="53"/>
      <c r="BI98" s="54"/>
      <c r="BJ98" s="49"/>
    </row>
    <row r="99" spans="1:62" s="51" customFormat="1" x14ac:dyDescent="0.25">
      <c r="A99" s="46"/>
      <c r="B99" s="46"/>
      <c r="C99" s="47"/>
      <c r="D99" s="48"/>
      <c r="E99" s="49"/>
      <c r="F99" s="48"/>
      <c r="G99" s="49"/>
      <c r="H99" s="48"/>
      <c r="I99" s="50"/>
      <c r="BF99" s="52"/>
      <c r="BG99" s="53"/>
      <c r="BH99" s="53"/>
      <c r="BI99" s="54"/>
      <c r="BJ99" s="49"/>
    </row>
    <row r="100" spans="1:62" s="51" customFormat="1" x14ac:dyDescent="0.25">
      <c r="A100" s="46"/>
      <c r="B100" s="46"/>
      <c r="C100" s="47"/>
      <c r="D100" s="48"/>
      <c r="E100" s="49"/>
      <c r="F100" s="48"/>
      <c r="G100" s="49"/>
      <c r="H100" s="48"/>
      <c r="I100" s="50"/>
      <c r="BF100" s="52"/>
      <c r="BG100" s="53"/>
      <c r="BH100" s="53"/>
      <c r="BI100" s="54"/>
      <c r="BJ100" s="49"/>
    </row>
    <row r="101" spans="1:62" s="51" customFormat="1" x14ac:dyDescent="0.25">
      <c r="A101" s="46"/>
      <c r="B101" s="46"/>
      <c r="C101" s="47"/>
      <c r="D101" s="48"/>
      <c r="E101" s="49"/>
      <c r="F101" s="48"/>
      <c r="G101" s="49"/>
      <c r="H101" s="48"/>
      <c r="I101" s="50"/>
      <c r="BF101" s="52"/>
      <c r="BG101" s="53"/>
      <c r="BH101" s="53"/>
      <c r="BI101" s="54"/>
      <c r="BJ101" s="49"/>
    </row>
    <row r="102" spans="1:62" s="51" customFormat="1" x14ac:dyDescent="0.25">
      <c r="A102" s="46"/>
      <c r="B102" s="46"/>
      <c r="C102" s="47"/>
      <c r="D102" s="48"/>
      <c r="E102" s="49"/>
      <c r="F102" s="48"/>
      <c r="G102" s="49"/>
      <c r="H102" s="48"/>
      <c r="I102" s="50"/>
      <c r="BF102" s="52"/>
      <c r="BG102" s="53"/>
      <c r="BH102" s="53"/>
      <c r="BI102" s="54"/>
      <c r="BJ102" s="49"/>
    </row>
  </sheetData>
  <mergeCells count="16">
    <mergeCell ref="B3:I3"/>
    <mergeCell ref="F5:G5"/>
    <mergeCell ref="H5:I5"/>
    <mergeCell ref="D10:E10"/>
    <mergeCell ref="F10:G10"/>
    <mergeCell ref="H10:I10"/>
    <mergeCell ref="D11:E11"/>
    <mergeCell ref="F11:G11"/>
    <mergeCell ref="H11:I11"/>
    <mergeCell ref="D5:E5"/>
    <mergeCell ref="H13:I13"/>
    <mergeCell ref="H14:I14"/>
    <mergeCell ref="H15:I15"/>
    <mergeCell ref="F12:G12"/>
    <mergeCell ref="D12:E12"/>
    <mergeCell ref="H12:I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0"/>
  <sheetViews>
    <sheetView zoomScale="75" zoomScaleNormal="75" workbookViewId="0">
      <selection activeCell="A2" sqref="A2:XFD2"/>
    </sheetView>
  </sheetViews>
  <sheetFormatPr defaultRowHeight="15.75" x14ac:dyDescent="0.25"/>
  <cols>
    <col min="1" max="1" width="16.625" style="18" customWidth="1"/>
    <col min="2" max="2" width="32.625" style="18" customWidth="1"/>
    <col min="3" max="3" width="32.625" style="20" customWidth="1"/>
    <col min="4" max="4" width="16.625" style="1" customWidth="1"/>
    <col min="5" max="5" width="16.625" style="22" customWidth="1"/>
    <col min="6" max="6" width="16.625" style="1" customWidth="1"/>
    <col min="7" max="7" width="16.625" style="22" customWidth="1"/>
    <col min="8" max="8" width="16.625" style="1" customWidth="1"/>
    <col min="9" max="9" width="16.625" style="22" customWidth="1"/>
    <col min="10" max="57" width="0.875" style="51" customWidth="1"/>
    <col min="58" max="58" width="11.625" style="52" customWidth="1"/>
    <col min="59" max="59" width="16.25" style="53" customWidth="1"/>
    <col min="60" max="60" width="13.375" style="53" customWidth="1"/>
    <col min="61" max="61" width="11.625" style="54" customWidth="1"/>
    <col min="62" max="62" width="13.25" style="54" customWidth="1"/>
    <col min="63" max="63" width="0.75" style="48" customWidth="1"/>
    <col min="64" max="104" width="9" style="51"/>
  </cols>
  <sheetData>
    <row r="1" spans="1:63" s="63" customFormat="1" ht="18" thickBot="1" x14ac:dyDescent="0.3">
      <c r="A1" s="45" t="s">
        <v>24</v>
      </c>
      <c r="B1" s="77" t="s">
        <v>11</v>
      </c>
      <c r="C1" s="83" t="s">
        <v>133</v>
      </c>
      <c r="D1" s="84" t="s">
        <v>134</v>
      </c>
      <c r="E1" s="85" t="s">
        <v>10</v>
      </c>
      <c r="F1" s="84" t="s">
        <v>135</v>
      </c>
      <c r="G1" s="85" t="s">
        <v>9</v>
      </c>
      <c r="H1" s="86" t="s">
        <v>136</v>
      </c>
      <c r="I1" s="78" t="s">
        <v>33</v>
      </c>
      <c r="J1" s="56" t="s">
        <v>41</v>
      </c>
      <c r="K1" s="57" t="s">
        <v>10</v>
      </c>
      <c r="L1" s="57" t="s">
        <v>9</v>
      </c>
      <c r="M1" s="58" t="s">
        <v>15</v>
      </c>
      <c r="N1" s="59" t="s">
        <v>98</v>
      </c>
      <c r="O1" s="59" t="s">
        <v>106</v>
      </c>
      <c r="P1" s="59" t="s">
        <v>107</v>
      </c>
      <c r="Q1" s="59" t="s">
        <v>108</v>
      </c>
      <c r="R1" s="59" t="s">
        <v>102</v>
      </c>
      <c r="S1" s="59" t="s">
        <v>109</v>
      </c>
      <c r="T1" s="59" t="s">
        <v>110</v>
      </c>
      <c r="U1" s="59" t="s">
        <v>111</v>
      </c>
      <c r="V1" s="59" t="s">
        <v>55</v>
      </c>
      <c r="W1" s="59" t="s">
        <v>57</v>
      </c>
      <c r="X1" s="59" t="s">
        <v>56</v>
      </c>
      <c r="Y1" s="59" t="s">
        <v>58</v>
      </c>
      <c r="Z1" s="59" t="s">
        <v>59</v>
      </c>
      <c r="AA1" s="59" t="s">
        <v>60</v>
      </c>
      <c r="AB1" s="59" t="s">
        <v>61</v>
      </c>
      <c r="AC1" s="59" t="s">
        <v>62</v>
      </c>
      <c r="AD1" s="59" t="s">
        <v>63</v>
      </c>
      <c r="AE1" s="59" t="s">
        <v>64</v>
      </c>
      <c r="AF1" s="59" t="s">
        <v>65</v>
      </c>
      <c r="AG1" s="59" t="s">
        <v>66</v>
      </c>
      <c r="AH1" s="59" t="s">
        <v>67</v>
      </c>
      <c r="AI1" s="59" t="s">
        <v>68</v>
      </c>
      <c r="AJ1" s="59" t="s">
        <v>69</v>
      </c>
      <c r="AK1" s="59" t="s">
        <v>70</v>
      </c>
      <c r="AL1" s="59" t="s">
        <v>71</v>
      </c>
      <c r="AM1" s="59" t="s">
        <v>72</v>
      </c>
      <c r="AN1" s="59" t="s">
        <v>73</v>
      </c>
      <c r="AO1" s="59" t="s">
        <v>74</v>
      </c>
      <c r="AP1" s="59" t="s">
        <v>75</v>
      </c>
      <c r="AQ1" s="59" t="s">
        <v>76</v>
      </c>
      <c r="AR1" s="59" t="s">
        <v>77</v>
      </c>
      <c r="AS1" s="59" t="s">
        <v>78</v>
      </c>
      <c r="AT1" s="59" t="s">
        <v>79</v>
      </c>
      <c r="AU1" s="59" t="s">
        <v>80</v>
      </c>
      <c r="AV1" s="59" t="s">
        <v>81</v>
      </c>
      <c r="AW1" s="59" t="s">
        <v>82</v>
      </c>
      <c r="AX1" s="59" t="s">
        <v>83</v>
      </c>
      <c r="AY1" s="59" t="s">
        <v>84</v>
      </c>
      <c r="AZ1" s="59" t="s">
        <v>85</v>
      </c>
      <c r="BA1" s="59" t="s">
        <v>86</v>
      </c>
      <c r="BB1" s="58" t="s">
        <v>7</v>
      </c>
      <c r="BC1" s="58" t="s">
        <v>40</v>
      </c>
      <c r="BD1" s="58" t="s">
        <v>8</v>
      </c>
      <c r="BE1" s="58" t="s">
        <v>27</v>
      </c>
      <c r="BF1" s="60" t="s">
        <v>37</v>
      </c>
      <c r="BG1" s="61" t="s">
        <v>88</v>
      </c>
      <c r="BH1" s="61" t="s">
        <v>87</v>
      </c>
      <c r="BI1" s="58" t="s">
        <v>12</v>
      </c>
      <c r="BJ1" s="62" t="s">
        <v>26</v>
      </c>
      <c r="BK1" s="96"/>
    </row>
    <row r="2" spans="1:63" s="51" customFormat="1" ht="16.5" thickBot="1" x14ac:dyDescent="0.3">
      <c r="A2" s="46"/>
      <c r="B2" s="46">
        <f t="shared" ref="B2:I2" si="0">B6</f>
        <v>0</v>
      </c>
      <c r="C2" s="46">
        <f t="shared" si="0"/>
        <v>0</v>
      </c>
      <c r="D2" s="48">
        <f t="shared" si="0"/>
        <v>0</v>
      </c>
      <c r="E2" s="49">
        <f t="shared" si="0"/>
        <v>0</v>
      </c>
      <c r="F2" s="48">
        <f t="shared" si="0"/>
        <v>0</v>
      </c>
      <c r="G2" s="49">
        <f t="shared" si="0"/>
        <v>0</v>
      </c>
      <c r="H2" s="48">
        <f t="shared" si="0"/>
        <v>0</v>
      </c>
      <c r="I2" s="80">
        <f t="shared" si="0"/>
        <v>0</v>
      </c>
      <c r="J2" s="64">
        <f>IF(H2&gt;0,H2*10,I2)</f>
        <v>0</v>
      </c>
      <c r="K2" s="65">
        <f>IF(D2&gt;0,D2*2.54,E2)</f>
        <v>0</v>
      </c>
      <c r="L2" s="65">
        <f>IF(F2&gt;0,F2*0.453592,G2)</f>
        <v>0</v>
      </c>
      <c r="M2" s="65">
        <f>IF(C2="M",1,IF(C2="Male",1,0))</f>
        <v>0</v>
      </c>
      <c r="N2" s="65">
        <f>IF(AND(B2&lt;45,M2=0),3.6*BF2+14.5,0)</f>
        <v>14.5</v>
      </c>
      <c r="O2" s="65">
        <f>IF(AND(B2&gt;=45,B2&lt;55,M2=0),4.9*BF2+13.5,0)</f>
        <v>0</v>
      </c>
      <c r="P2" s="65">
        <f>IF(AND(B2&gt;=55,B2&lt;65,M2=0),4.8*BF2+14.7,0)</f>
        <v>0</v>
      </c>
      <c r="Q2" s="65">
        <f>IF(AND(B2&gt;=65,M2=0),3.7*BF2+17.8,0)</f>
        <v>0</v>
      </c>
      <c r="R2" s="65">
        <f>IF(AND(B2&lt;45,M2=1),4.4*BF2+14.5,0)</f>
        <v>0</v>
      </c>
      <c r="S2" s="65">
        <f>IF(AND(B2&gt;=45,B2&lt;55,M2=1),5.2*BF2+14.1,0)</f>
        <v>0</v>
      </c>
      <c r="T2" s="65">
        <f>IF(AND(B2&gt;=55,B2&lt;65,M2=1),5.8*BF2+14.3,0)</f>
        <v>0</v>
      </c>
      <c r="U2" s="65">
        <f>IF(AND(B2&gt;=65,M2=1),3.9*BF2+19.5,0)</f>
        <v>0</v>
      </c>
      <c r="V2" s="65">
        <f>IF(AND($M2=0,$B2&lt;45,$BF2&lt;1.7),1.4,0)</f>
        <v>1.4</v>
      </c>
      <c r="W2" s="65">
        <f>IF(AND($M2=0,$B2&lt;45,$BF2&gt;=1.7,$BF2&lt;1.9),1.6,0)</f>
        <v>0</v>
      </c>
      <c r="X2" s="65">
        <f>IF(AND($M2=0,$B2&lt;45,$BF2&gt;=1.9,$BF2&lt;2.1),1.2,0)</f>
        <v>0</v>
      </c>
      <c r="Y2" s="65">
        <f>IF(AND($M2=0,$B2&lt;45,$BF2&gt;=2.1),2.2,0)</f>
        <v>0</v>
      </c>
      <c r="Z2" s="65">
        <f>IF(AND($M2=0,$B2&gt;=45,$B2&lt;55,$BF2&lt;1.7),1.6,0)</f>
        <v>0</v>
      </c>
      <c r="AA2" s="65">
        <f>IF(AND($M2=0,$B2&gt;=45,$B2&lt;55,$BF2&gt;=1.7,$BF2&lt;1.9),1.6,0)</f>
        <v>0</v>
      </c>
      <c r="AB2" s="65">
        <f>IF(AND($M2=0,$B2&gt;=45,$B2&lt;55,$BF2&gt;=1.9,$BF2&lt;2.1),1.8,0)</f>
        <v>0</v>
      </c>
      <c r="AC2" s="65">
        <f>IF(AND($M2=0,$B2&gt;=45,$B2&lt;55,$BF2&gt;=2.1),2.2,0)</f>
        <v>0</v>
      </c>
      <c r="AD2" s="65">
        <f>IF(AND($M2=0,$B2&gt;=55,$B2&lt;65,$BF2&lt;1.7),1.8,0)</f>
        <v>0</v>
      </c>
      <c r="AE2" s="65">
        <f>IF(AND($M2=0,$B2&gt;=55,$B2&lt;65,$BF2&gt;=1.7,$BF2&lt;1.9),1.9,0)</f>
        <v>0</v>
      </c>
      <c r="AF2" s="65">
        <f>IF(AND($M2=0,$B2&gt;=55,$B2&lt;65,$BF2&gt;=1.9,$BF2&lt;2.1),1.9,0)</f>
        <v>0</v>
      </c>
      <c r="AG2" s="65">
        <f>IF(AND($M2=0,$B2&gt;=55,$B2&lt;65,$BF2&gt;=2.1),3.1,0)</f>
        <v>0</v>
      </c>
      <c r="AH2" s="65">
        <f>IF(AND($M2=0,$B2&gt;=65,$BF2&lt;1.7),1.8,0)</f>
        <v>0</v>
      </c>
      <c r="AI2" s="65">
        <f>IF(AND($M2=0,$B2&gt;=65,$BF2&gt;=1.7,$BF2&lt;1.9),1.4,0)</f>
        <v>0</v>
      </c>
      <c r="AJ2" s="65">
        <f>IF(AND($M2=0,$B2&gt;=65,$BF2&gt;=1.9,$BF2&lt;2.1),1.9,0)</f>
        <v>0</v>
      </c>
      <c r="AK2" s="65">
        <f>IF(AND($M2=0,$B2&gt;=65,$BF2&gt;=2.1),1.9,0)</f>
        <v>0</v>
      </c>
      <c r="AL2" s="65">
        <f>IF(AND($M2=1,$B2&lt;45,$BF2&lt;1.7),2.5,0)</f>
        <v>0</v>
      </c>
      <c r="AM2" s="65">
        <f>IF(AND($M2=1,$B2&lt;45,$BF2&gt;=1.7,$BF2&lt;1.9),2,0)</f>
        <v>0</v>
      </c>
      <c r="AN2" s="65">
        <f>IF(AND($M2=1,$B2&lt;45,$BF2&gt;=1.9,$BF2&lt;2.1),1.7,0)</f>
        <v>0</v>
      </c>
      <c r="AO2" s="65">
        <f>IF(AND($M2=1,$B2&lt;45,$BF2&gt;=2.1),2,0)</f>
        <v>0</v>
      </c>
      <c r="AP2" s="65">
        <f>IF(AND($M2=1,$B2&gt;=45,$B2&lt;55,$BF2&lt;1.7),1.1,0)</f>
        <v>0</v>
      </c>
      <c r="AQ2" s="65">
        <f>IF(AND($M2=1,$B2&gt;=45,$B2&lt;55,$BF2&gt;=1.7,$BF2&lt;1.9),2,0)</f>
        <v>0</v>
      </c>
      <c r="AR2" s="65">
        <f>IF(AND($M2=1,$B2&gt;=45,$B2&lt;55,$BF2&gt;=1.9,$BF2&lt;2.1),2.2,0)</f>
        <v>0</v>
      </c>
      <c r="AS2" s="65">
        <f>IF(AND($M2=1,$B2&gt;=45,$B2&lt;55,$BF2&gt;=2.1),1.9,0)</f>
        <v>0</v>
      </c>
      <c r="AT2" s="65">
        <f>IF(AND($M2=1,$B2&gt;=55,$B2&lt;65,$BF2&lt;1.7),1.5,0)</f>
        <v>0</v>
      </c>
      <c r="AU2" s="65">
        <f>IF(AND($M2=1,$B2&gt;=55,$B2&lt;65,$BF2&gt;=1.7,$BF2&lt;1.9),1.7,0)</f>
        <v>0</v>
      </c>
      <c r="AV2" s="65">
        <f>IF(AND($M2=1,$B2&gt;=55,$B2&lt;65,$BF2&gt;=1.9,$BF2&lt;2.1),2,0)</f>
        <v>0</v>
      </c>
      <c r="AW2" s="65">
        <f>IF(AND($M2=1,$B2&gt;=55,$B2&lt;65,$BF2&gt;=2.1),2.2,0)</f>
        <v>0</v>
      </c>
      <c r="AX2" s="65">
        <f>IF(AND($M2=1,$B2&gt;=65,$BF2&lt;1.7),2.5,0)</f>
        <v>0</v>
      </c>
      <c r="AY2" s="65">
        <f>IF(AND($M2=1,$B2&gt;=65,$BF2&gt;=1.7,$BF2&lt;1.9),2.8,0)</f>
        <v>0</v>
      </c>
      <c r="AZ2" s="65">
        <f>IF(AND($M2=1,$B2&gt;=65,$BF2&gt;=1.9,$BF2&lt;2.1),2,0)</f>
        <v>0</v>
      </c>
      <c r="BA2" s="65">
        <f>IF(AND($M2=1,$B2&gt;=65,$BF2&gt;=2.1),2,0)</f>
        <v>0</v>
      </c>
      <c r="BB2" s="65">
        <f>MAX(V2:BA2)</f>
        <v>1.4</v>
      </c>
      <c r="BC2" s="65">
        <f>IF(AND($J2&gt;=$BG2+$BB2*2,$J2&lt;$BG2*1.5),1,0)</f>
        <v>0</v>
      </c>
      <c r="BD2" s="65">
        <f>IF($J2&gt;=1.5*$BG2,1,0)</f>
        <v>0</v>
      </c>
      <c r="BE2" s="65">
        <f>IF($J2&lt;=$BG2-$BB2*2,1,0)</f>
        <v>1</v>
      </c>
      <c r="BF2" s="66">
        <f>(K2^0.725)*(L2^0.425)*0.007184</f>
        <v>0</v>
      </c>
      <c r="BG2" s="67">
        <f>MAX(N2:U2)</f>
        <v>14.5</v>
      </c>
      <c r="BH2" s="67">
        <f>J2/BG2</f>
        <v>0</v>
      </c>
      <c r="BI2" s="97">
        <f>(J2-BG2)/BB2</f>
        <v>-10.357142857142858</v>
      </c>
      <c r="BJ2" s="70" t="str">
        <f>IF($BC2=1,"Ectasia",IF($BD2=1,"Aneurysm",IF($BE2=1,"Hypoplastic","Normal")))</f>
        <v>Hypoplastic</v>
      </c>
      <c r="BK2" s="80"/>
    </row>
    <row r="3" spans="1:63" ht="30" customHeight="1" thickTop="1" thickBot="1" x14ac:dyDescent="0.3">
      <c r="A3" s="108"/>
      <c r="B3" s="131" t="s">
        <v>172</v>
      </c>
      <c r="C3" s="132"/>
      <c r="D3" s="132"/>
      <c r="E3" s="132"/>
      <c r="F3" s="132"/>
      <c r="G3" s="132"/>
      <c r="H3" s="132"/>
      <c r="I3" s="133"/>
    </row>
    <row r="4" spans="1:63" ht="30" customHeight="1" thickTop="1" x14ac:dyDescent="0.25">
      <c r="A4" s="109"/>
      <c r="B4" s="109"/>
      <c r="C4" s="109"/>
      <c r="D4" s="110"/>
      <c r="E4" s="111"/>
      <c r="F4" s="110"/>
      <c r="G4" s="111"/>
      <c r="H4" s="110"/>
      <c r="I4" s="112"/>
    </row>
    <row r="5" spans="1:63" ht="30" customHeight="1" thickBot="1" x14ac:dyDescent="0.3">
      <c r="A5" s="100"/>
      <c r="B5" s="98" t="s">
        <v>2</v>
      </c>
      <c r="C5" s="98" t="s">
        <v>15</v>
      </c>
      <c r="D5" s="129" t="s">
        <v>126</v>
      </c>
      <c r="E5" s="130"/>
      <c r="F5" s="129" t="s">
        <v>125</v>
      </c>
      <c r="G5" s="130"/>
      <c r="H5" s="129" t="s">
        <v>174</v>
      </c>
      <c r="I5" s="130"/>
    </row>
    <row r="6" spans="1:63" ht="30" customHeight="1" thickTop="1" thickBot="1" x14ac:dyDescent="0.3">
      <c r="A6" s="118" t="s">
        <v>122</v>
      </c>
      <c r="B6" s="119"/>
      <c r="C6" s="119"/>
      <c r="D6" s="119"/>
      <c r="E6" s="119"/>
      <c r="F6" s="120"/>
      <c r="G6" s="120"/>
      <c r="H6" s="119"/>
      <c r="I6" s="121"/>
    </row>
    <row r="7" spans="1:63" ht="30" customHeight="1" thickTop="1" x14ac:dyDescent="0.25">
      <c r="A7" s="100"/>
      <c r="B7" s="98" t="s">
        <v>112</v>
      </c>
      <c r="C7" s="98" t="s">
        <v>178</v>
      </c>
      <c r="D7" s="113" t="s">
        <v>113</v>
      </c>
      <c r="E7" s="114" t="s">
        <v>114</v>
      </c>
      <c r="F7" s="113" t="s">
        <v>115</v>
      </c>
      <c r="G7" s="114" t="s">
        <v>116</v>
      </c>
      <c r="H7" s="113" t="s">
        <v>117</v>
      </c>
      <c r="I7" s="99" t="s">
        <v>118</v>
      </c>
    </row>
    <row r="8" spans="1:63" ht="30" customHeight="1" x14ac:dyDescent="0.25">
      <c r="A8" s="100"/>
      <c r="B8" s="100"/>
      <c r="C8" s="106"/>
      <c r="D8" s="103"/>
      <c r="E8" s="104"/>
      <c r="F8" s="103"/>
      <c r="G8" s="104"/>
      <c r="H8" s="103"/>
      <c r="I8" s="107"/>
    </row>
    <row r="9" spans="1:63" ht="30" customHeight="1" x14ac:dyDescent="0.25">
      <c r="A9" s="100"/>
      <c r="B9" s="100"/>
      <c r="C9" s="106"/>
      <c r="D9" s="103"/>
      <c r="E9" s="104"/>
      <c r="F9" s="103"/>
      <c r="G9" s="104"/>
      <c r="H9" s="103"/>
      <c r="I9" s="107"/>
    </row>
    <row r="10" spans="1:63" ht="30" customHeight="1" thickBot="1" x14ac:dyDescent="0.3">
      <c r="A10" s="100"/>
      <c r="B10" s="101" t="s">
        <v>90</v>
      </c>
      <c r="C10" s="101" t="s">
        <v>177</v>
      </c>
      <c r="D10" s="123" t="s">
        <v>132</v>
      </c>
      <c r="E10" s="124"/>
      <c r="F10" s="123" t="s">
        <v>131</v>
      </c>
      <c r="G10" s="124"/>
      <c r="H10" s="123" t="s">
        <v>120</v>
      </c>
      <c r="I10" s="124"/>
    </row>
    <row r="11" spans="1:63" ht="30" customHeight="1" thickBot="1" x14ac:dyDescent="0.3">
      <c r="A11" s="115" t="s">
        <v>123</v>
      </c>
      <c r="B11" s="116">
        <f>BF2</f>
        <v>0</v>
      </c>
      <c r="C11" s="117">
        <f>BG2/10</f>
        <v>1.45</v>
      </c>
      <c r="D11" s="125">
        <f>BH2</f>
        <v>0</v>
      </c>
      <c r="E11" s="126"/>
      <c r="F11" s="125">
        <f>BI2</f>
        <v>-10.357142857142858</v>
      </c>
      <c r="G11" s="126"/>
      <c r="H11" s="128" t="str">
        <f>BJ2</f>
        <v>Hypoplastic</v>
      </c>
      <c r="I11" s="127"/>
    </row>
    <row r="12" spans="1:63" ht="30" customHeight="1" x14ac:dyDescent="0.25">
      <c r="A12" s="100"/>
      <c r="B12" s="101" t="s">
        <v>175</v>
      </c>
      <c r="C12" s="101" t="s">
        <v>119</v>
      </c>
      <c r="D12" s="123" t="s">
        <v>176</v>
      </c>
      <c r="E12" s="124"/>
      <c r="F12" s="123" t="s">
        <v>121</v>
      </c>
      <c r="G12" s="124"/>
      <c r="H12" s="123" t="s">
        <v>127</v>
      </c>
      <c r="I12" s="124"/>
    </row>
    <row r="13" spans="1:63" ht="30" customHeight="1" x14ac:dyDescent="0.25">
      <c r="A13" s="100"/>
      <c r="B13" s="100"/>
      <c r="C13" s="106"/>
      <c r="D13" s="103"/>
      <c r="E13" s="104"/>
      <c r="F13" s="103"/>
      <c r="G13" s="104"/>
      <c r="H13" s="123" t="s">
        <v>173</v>
      </c>
      <c r="I13" s="124"/>
    </row>
    <row r="14" spans="1:63" ht="30" customHeight="1" x14ac:dyDescent="0.25">
      <c r="A14" s="100"/>
      <c r="B14" s="100"/>
      <c r="C14" s="106"/>
      <c r="D14" s="103"/>
      <c r="E14" s="104"/>
      <c r="F14" s="103"/>
      <c r="G14" s="104"/>
      <c r="H14" s="123" t="s">
        <v>128</v>
      </c>
      <c r="I14" s="124"/>
    </row>
    <row r="15" spans="1:63" ht="30" customHeight="1" x14ac:dyDescent="0.25">
      <c r="A15" s="100"/>
      <c r="B15" s="100"/>
      <c r="C15" s="106"/>
      <c r="D15" s="103"/>
      <c r="E15" s="104"/>
      <c r="F15" s="103"/>
      <c r="G15" s="104"/>
      <c r="H15" s="123" t="s">
        <v>130</v>
      </c>
      <c r="I15" s="124"/>
    </row>
    <row r="16" spans="1:63" s="51" customFormat="1" x14ac:dyDescent="0.25">
      <c r="A16" s="46"/>
      <c r="B16" s="46"/>
      <c r="C16" s="47"/>
      <c r="D16" s="48"/>
      <c r="E16" s="49"/>
      <c r="F16" s="48"/>
      <c r="G16" s="49"/>
      <c r="H16" s="48"/>
      <c r="I16" s="49"/>
      <c r="BF16" s="52"/>
      <c r="BG16" s="53"/>
      <c r="BH16" s="53"/>
      <c r="BI16" s="54"/>
      <c r="BJ16" s="54"/>
      <c r="BK16" s="48"/>
    </row>
    <row r="17" spans="1:63" s="51" customFormat="1" x14ac:dyDescent="0.25">
      <c r="A17" s="46"/>
      <c r="B17" s="46"/>
      <c r="C17" s="47"/>
      <c r="D17" s="48"/>
      <c r="E17" s="49"/>
      <c r="F17" s="48"/>
      <c r="G17" s="49"/>
      <c r="H17" s="48"/>
      <c r="I17" s="49"/>
      <c r="BF17" s="52"/>
      <c r="BG17" s="53"/>
      <c r="BH17" s="53"/>
      <c r="BI17" s="54"/>
      <c r="BJ17" s="54"/>
      <c r="BK17" s="48"/>
    </row>
    <row r="18" spans="1:63" s="51" customFormat="1" x14ac:dyDescent="0.25">
      <c r="A18" s="46"/>
      <c r="B18" s="46"/>
      <c r="C18" s="47"/>
      <c r="D18" s="48"/>
      <c r="E18" s="49"/>
      <c r="F18" s="48"/>
      <c r="G18" s="49"/>
      <c r="H18" s="48"/>
      <c r="I18" s="49"/>
      <c r="BF18" s="52"/>
      <c r="BG18" s="53"/>
      <c r="BH18" s="53"/>
      <c r="BI18" s="54"/>
      <c r="BJ18" s="54"/>
      <c r="BK18" s="48"/>
    </row>
    <row r="19" spans="1:63" s="51" customFormat="1" x14ac:dyDescent="0.25">
      <c r="A19" s="46"/>
      <c r="B19" s="46"/>
      <c r="C19" s="47"/>
      <c r="D19" s="48"/>
      <c r="E19" s="49"/>
      <c r="F19" s="48"/>
      <c r="G19" s="49"/>
      <c r="H19" s="48"/>
      <c r="I19" s="49"/>
      <c r="BF19" s="52"/>
      <c r="BG19" s="53"/>
      <c r="BH19" s="53"/>
      <c r="BI19" s="54"/>
      <c r="BJ19" s="54"/>
      <c r="BK19" s="48"/>
    </row>
    <row r="20" spans="1:63" s="51" customFormat="1" x14ac:dyDescent="0.25">
      <c r="A20" s="46"/>
      <c r="B20" s="46"/>
      <c r="C20" s="47"/>
      <c r="D20" s="48"/>
      <c r="E20" s="49"/>
      <c r="F20" s="48"/>
      <c r="G20" s="49"/>
      <c r="H20" s="48"/>
      <c r="I20" s="49"/>
      <c r="BF20" s="52"/>
      <c r="BG20" s="53"/>
      <c r="BH20" s="53"/>
      <c r="BI20" s="54"/>
      <c r="BJ20" s="54"/>
      <c r="BK20" s="48"/>
    </row>
    <row r="21" spans="1:63" s="51" customFormat="1" x14ac:dyDescent="0.25">
      <c r="A21" s="46"/>
      <c r="B21" s="46"/>
      <c r="C21" s="47"/>
      <c r="D21" s="48"/>
      <c r="E21" s="49"/>
      <c r="F21" s="48"/>
      <c r="G21" s="49"/>
      <c r="H21" s="48"/>
      <c r="I21" s="49"/>
      <c r="BF21" s="52"/>
      <c r="BG21" s="53"/>
      <c r="BH21" s="53"/>
      <c r="BI21" s="54"/>
      <c r="BJ21" s="54"/>
      <c r="BK21" s="48"/>
    </row>
    <row r="22" spans="1:63" s="51" customFormat="1" x14ac:dyDescent="0.25">
      <c r="A22" s="46"/>
      <c r="B22" s="46"/>
      <c r="C22" s="47"/>
      <c r="D22" s="48"/>
      <c r="E22" s="49"/>
      <c r="F22" s="48"/>
      <c r="G22" s="49"/>
      <c r="H22" s="48"/>
      <c r="I22" s="49"/>
      <c r="BF22" s="52"/>
      <c r="BG22" s="53"/>
      <c r="BH22" s="53"/>
      <c r="BI22" s="54"/>
      <c r="BJ22" s="54"/>
      <c r="BK22" s="48"/>
    </row>
    <row r="23" spans="1:63" s="51" customFormat="1" x14ac:dyDescent="0.25">
      <c r="A23" s="46"/>
      <c r="B23" s="46"/>
      <c r="C23" s="47"/>
      <c r="D23" s="48"/>
      <c r="E23" s="49"/>
      <c r="F23" s="48"/>
      <c r="G23" s="49"/>
      <c r="H23" s="48"/>
      <c r="I23" s="49"/>
      <c r="BF23" s="52"/>
      <c r="BG23" s="53"/>
      <c r="BH23" s="53"/>
      <c r="BI23" s="54"/>
      <c r="BJ23" s="54"/>
      <c r="BK23" s="48"/>
    </row>
    <row r="24" spans="1:63" s="51" customFormat="1" x14ac:dyDescent="0.25">
      <c r="A24" s="46"/>
      <c r="B24" s="46"/>
      <c r="C24" s="47"/>
      <c r="D24" s="48"/>
      <c r="E24" s="49"/>
      <c r="F24" s="48"/>
      <c r="G24" s="49"/>
      <c r="H24" s="48"/>
      <c r="I24" s="49"/>
      <c r="BF24" s="52"/>
      <c r="BG24" s="53"/>
      <c r="BH24" s="53"/>
      <c r="BI24" s="54"/>
      <c r="BJ24" s="54"/>
      <c r="BK24" s="48"/>
    </row>
    <row r="25" spans="1:63" s="51" customFormat="1" x14ac:dyDescent="0.25">
      <c r="A25" s="46"/>
      <c r="B25" s="46"/>
      <c r="C25" s="47"/>
      <c r="D25" s="48"/>
      <c r="E25" s="49"/>
      <c r="F25" s="48"/>
      <c r="G25" s="49"/>
      <c r="H25" s="48"/>
      <c r="I25" s="49"/>
      <c r="BF25" s="52"/>
      <c r="BG25" s="53"/>
      <c r="BH25" s="53"/>
      <c r="BI25" s="54"/>
      <c r="BJ25" s="54"/>
      <c r="BK25" s="48"/>
    </row>
    <row r="26" spans="1:63" s="51" customFormat="1" x14ac:dyDescent="0.25">
      <c r="A26" s="46"/>
      <c r="B26" s="46"/>
      <c r="C26" s="47"/>
      <c r="D26" s="48"/>
      <c r="E26" s="49"/>
      <c r="F26" s="48"/>
      <c r="G26" s="49"/>
      <c r="H26" s="48"/>
      <c r="I26" s="49"/>
      <c r="BF26" s="52"/>
      <c r="BG26" s="53"/>
      <c r="BH26" s="53"/>
      <c r="BI26" s="54"/>
      <c r="BJ26" s="54"/>
      <c r="BK26" s="48"/>
    </row>
    <row r="27" spans="1:63" s="51" customFormat="1" x14ac:dyDescent="0.25">
      <c r="A27" s="46"/>
      <c r="B27" s="46"/>
      <c r="C27" s="47"/>
      <c r="D27" s="48"/>
      <c r="E27" s="49"/>
      <c r="F27" s="48"/>
      <c r="G27" s="49"/>
      <c r="H27" s="48"/>
      <c r="I27" s="49"/>
      <c r="BF27" s="52"/>
      <c r="BG27" s="53"/>
      <c r="BH27" s="53"/>
      <c r="BI27" s="54"/>
      <c r="BJ27" s="54"/>
      <c r="BK27" s="48"/>
    </row>
    <row r="28" spans="1:63" s="51" customFormat="1" x14ac:dyDescent="0.25">
      <c r="A28" s="46"/>
      <c r="B28" s="46"/>
      <c r="C28" s="47"/>
      <c r="D28" s="48"/>
      <c r="E28" s="49"/>
      <c r="F28" s="48"/>
      <c r="G28" s="49"/>
      <c r="H28" s="48"/>
      <c r="I28" s="49"/>
      <c r="BF28" s="52"/>
      <c r="BG28" s="53"/>
      <c r="BH28" s="53"/>
      <c r="BI28" s="54"/>
      <c r="BJ28" s="54"/>
      <c r="BK28" s="48"/>
    </row>
    <row r="29" spans="1:63" s="51" customFormat="1" x14ac:dyDescent="0.25">
      <c r="A29" s="46"/>
      <c r="B29" s="46"/>
      <c r="C29" s="47"/>
      <c r="D29" s="48"/>
      <c r="E29" s="49"/>
      <c r="F29" s="48"/>
      <c r="G29" s="49"/>
      <c r="H29" s="48"/>
      <c r="I29" s="49"/>
      <c r="BF29" s="52"/>
      <c r="BG29" s="53"/>
      <c r="BH29" s="53"/>
      <c r="BI29" s="54"/>
      <c r="BJ29" s="54"/>
      <c r="BK29" s="48"/>
    </row>
    <row r="30" spans="1:63" s="51" customFormat="1" x14ac:dyDescent="0.25">
      <c r="A30" s="46"/>
      <c r="B30" s="46"/>
      <c r="C30" s="47"/>
      <c r="D30" s="48"/>
      <c r="E30" s="49"/>
      <c r="F30" s="48"/>
      <c r="G30" s="49"/>
      <c r="H30" s="48"/>
      <c r="I30" s="49"/>
      <c r="BF30" s="52"/>
      <c r="BG30" s="53"/>
      <c r="BH30" s="53"/>
      <c r="BI30" s="54"/>
      <c r="BJ30" s="54"/>
      <c r="BK30" s="48"/>
    </row>
    <row r="31" spans="1:63" s="51" customFormat="1" x14ac:dyDescent="0.25">
      <c r="A31" s="46"/>
      <c r="B31" s="46"/>
      <c r="C31" s="47"/>
      <c r="D31" s="48"/>
      <c r="E31" s="49"/>
      <c r="F31" s="48"/>
      <c r="G31" s="49"/>
      <c r="H31" s="48"/>
      <c r="I31" s="49"/>
      <c r="BF31" s="52"/>
      <c r="BG31" s="53"/>
      <c r="BH31" s="53"/>
      <c r="BI31" s="54"/>
      <c r="BJ31" s="54"/>
      <c r="BK31" s="48"/>
    </row>
    <row r="32" spans="1:63" s="51" customFormat="1" x14ac:dyDescent="0.25">
      <c r="A32" s="46"/>
      <c r="B32" s="46"/>
      <c r="C32" s="47"/>
      <c r="D32" s="48"/>
      <c r="E32" s="49"/>
      <c r="F32" s="48"/>
      <c r="G32" s="49"/>
      <c r="H32" s="48"/>
      <c r="I32" s="49"/>
      <c r="BF32" s="52"/>
      <c r="BG32" s="53"/>
      <c r="BH32" s="53"/>
      <c r="BI32" s="54"/>
      <c r="BJ32" s="54"/>
      <c r="BK32" s="48"/>
    </row>
    <row r="33" spans="1:63" s="51" customFormat="1" x14ac:dyDescent="0.25">
      <c r="A33" s="46"/>
      <c r="B33" s="46"/>
      <c r="C33" s="47"/>
      <c r="D33" s="48"/>
      <c r="E33" s="49"/>
      <c r="F33" s="48"/>
      <c r="G33" s="49"/>
      <c r="H33" s="48"/>
      <c r="I33" s="49"/>
      <c r="BF33" s="52"/>
      <c r="BG33" s="53"/>
      <c r="BH33" s="53"/>
      <c r="BI33" s="54"/>
      <c r="BJ33" s="54"/>
      <c r="BK33" s="48"/>
    </row>
    <row r="34" spans="1:63" s="51" customFormat="1" x14ac:dyDescent="0.25">
      <c r="A34" s="46"/>
      <c r="B34" s="46"/>
      <c r="C34" s="47"/>
      <c r="D34" s="48"/>
      <c r="E34" s="49"/>
      <c r="F34" s="48"/>
      <c r="G34" s="49"/>
      <c r="H34" s="48"/>
      <c r="I34" s="49"/>
      <c r="BF34" s="52"/>
      <c r="BG34" s="53"/>
      <c r="BH34" s="53"/>
      <c r="BI34" s="54"/>
      <c r="BJ34" s="54"/>
      <c r="BK34" s="48"/>
    </row>
    <row r="35" spans="1:63" s="51" customFormat="1" x14ac:dyDescent="0.25">
      <c r="A35" s="46"/>
      <c r="B35" s="46"/>
      <c r="C35" s="47"/>
      <c r="D35" s="48"/>
      <c r="E35" s="49"/>
      <c r="F35" s="48"/>
      <c r="G35" s="49"/>
      <c r="H35" s="48"/>
      <c r="I35" s="49"/>
      <c r="BF35" s="52"/>
      <c r="BG35" s="53"/>
      <c r="BH35" s="53"/>
      <c r="BI35" s="54"/>
      <c r="BJ35" s="54"/>
      <c r="BK35" s="48"/>
    </row>
    <row r="36" spans="1:63" s="51" customFormat="1" x14ac:dyDescent="0.25">
      <c r="A36" s="46"/>
      <c r="B36" s="46"/>
      <c r="C36" s="47"/>
      <c r="D36" s="48"/>
      <c r="E36" s="49"/>
      <c r="F36" s="48"/>
      <c r="G36" s="49"/>
      <c r="H36" s="48"/>
      <c r="I36" s="49"/>
      <c r="BF36" s="52"/>
      <c r="BG36" s="53"/>
      <c r="BH36" s="53"/>
      <c r="BI36" s="54"/>
      <c r="BJ36" s="54"/>
      <c r="BK36" s="48"/>
    </row>
    <row r="37" spans="1:63" s="51" customFormat="1" x14ac:dyDescent="0.25">
      <c r="A37" s="46"/>
      <c r="B37" s="46"/>
      <c r="C37" s="47"/>
      <c r="D37" s="48"/>
      <c r="E37" s="49"/>
      <c r="F37" s="48"/>
      <c r="G37" s="49"/>
      <c r="H37" s="48"/>
      <c r="I37" s="49"/>
      <c r="BF37" s="52"/>
      <c r="BG37" s="53"/>
      <c r="BH37" s="53"/>
      <c r="BI37" s="54"/>
      <c r="BJ37" s="54"/>
      <c r="BK37" s="48"/>
    </row>
    <row r="38" spans="1:63" s="51" customFormat="1" x14ac:dyDescent="0.25">
      <c r="A38" s="46"/>
      <c r="B38" s="46"/>
      <c r="C38" s="47"/>
      <c r="D38" s="48"/>
      <c r="E38" s="49"/>
      <c r="F38" s="48"/>
      <c r="G38" s="49"/>
      <c r="H38" s="48"/>
      <c r="I38" s="49"/>
      <c r="BF38" s="52"/>
      <c r="BG38" s="53"/>
      <c r="BH38" s="53"/>
      <c r="BI38" s="54"/>
      <c r="BJ38" s="54"/>
      <c r="BK38" s="48"/>
    </row>
    <row r="39" spans="1:63" s="51" customFormat="1" x14ac:dyDescent="0.25">
      <c r="A39" s="46"/>
      <c r="B39" s="46"/>
      <c r="C39" s="47"/>
      <c r="D39" s="48"/>
      <c r="E39" s="49"/>
      <c r="F39" s="48"/>
      <c r="G39" s="49"/>
      <c r="H39" s="48"/>
      <c r="I39" s="49"/>
      <c r="BF39" s="52"/>
      <c r="BG39" s="53"/>
      <c r="BH39" s="53"/>
      <c r="BI39" s="54"/>
      <c r="BJ39" s="54"/>
      <c r="BK39" s="48"/>
    </row>
    <row r="40" spans="1:63" s="51" customFormat="1" x14ac:dyDescent="0.25">
      <c r="A40" s="46"/>
      <c r="B40" s="46"/>
      <c r="C40" s="47"/>
      <c r="D40" s="48"/>
      <c r="E40" s="49"/>
      <c r="F40" s="48"/>
      <c r="G40" s="49"/>
      <c r="H40" s="48"/>
      <c r="I40" s="49"/>
      <c r="BF40" s="52"/>
      <c r="BG40" s="53"/>
      <c r="BH40" s="53"/>
      <c r="BI40" s="54"/>
      <c r="BJ40" s="54"/>
      <c r="BK40" s="48"/>
    </row>
    <row r="41" spans="1:63" s="51" customFormat="1" x14ac:dyDescent="0.25">
      <c r="A41" s="46"/>
      <c r="B41" s="46"/>
      <c r="C41" s="47"/>
      <c r="D41" s="48"/>
      <c r="E41" s="49"/>
      <c r="F41" s="48"/>
      <c r="G41" s="49"/>
      <c r="H41" s="48"/>
      <c r="I41" s="49"/>
      <c r="BF41" s="52"/>
      <c r="BG41" s="53"/>
      <c r="BH41" s="53"/>
      <c r="BI41" s="54"/>
      <c r="BJ41" s="54"/>
      <c r="BK41" s="48"/>
    </row>
    <row r="42" spans="1:63" s="51" customFormat="1" x14ac:dyDescent="0.25">
      <c r="A42" s="46"/>
      <c r="B42" s="46"/>
      <c r="C42" s="47"/>
      <c r="D42" s="48"/>
      <c r="E42" s="49"/>
      <c r="F42" s="48"/>
      <c r="G42" s="49"/>
      <c r="H42" s="48"/>
      <c r="I42" s="49"/>
      <c r="BF42" s="52"/>
      <c r="BG42" s="53"/>
      <c r="BH42" s="53"/>
      <c r="BI42" s="54"/>
      <c r="BJ42" s="54"/>
      <c r="BK42" s="48"/>
    </row>
    <row r="43" spans="1:63" s="51" customFormat="1" x14ac:dyDescent="0.25">
      <c r="A43" s="46"/>
      <c r="B43" s="46"/>
      <c r="C43" s="47"/>
      <c r="D43" s="48"/>
      <c r="E43" s="49"/>
      <c r="F43" s="48"/>
      <c r="G43" s="49"/>
      <c r="H43" s="48"/>
      <c r="I43" s="49"/>
      <c r="BF43" s="52"/>
      <c r="BG43" s="53"/>
      <c r="BH43" s="53"/>
      <c r="BI43" s="54"/>
      <c r="BJ43" s="54"/>
      <c r="BK43" s="48"/>
    </row>
    <row r="44" spans="1:63" s="51" customFormat="1" x14ac:dyDescent="0.25">
      <c r="A44" s="46"/>
      <c r="B44" s="46"/>
      <c r="C44" s="47"/>
      <c r="D44" s="48"/>
      <c r="E44" s="49"/>
      <c r="F44" s="48"/>
      <c r="G44" s="49"/>
      <c r="H44" s="48"/>
      <c r="I44" s="49"/>
      <c r="BF44" s="52"/>
      <c r="BG44" s="53"/>
      <c r="BH44" s="53"/>
      <c r="BI44" s="54"/>
      <c r="BJ44" s="54"/>
      <c r="BK44" s="48"/>
    </row>
    <row r="45" spans="1:63" s="51" customFormat="1" x14ac:dyDescent="0.25">
      <c r="A45" s="46"/>
      <c r="B45" s="46"/>
      <c r="C45" s="47"/>
      <c r="D45" s="48"/>
      <c r="E45" s="49"/>
      <c r="F45" s="48"/>
      <c r="G45" s="49"/>
      <c r="H45" s="48"/>
      <c r="I45" s="49"/>
      <c r="BF45" s="52"/>
      <c r="BG45" s="53"/>
      <c r="BH45" s="53"/>
      <c r="BI45" s="54"/>
      <c r="BJ45" s="54"/>
      <c r="BK45" s="48"/>
    </row>
    <row r="46" spans="1:63" s="51" customFormat="1" x14ac:dyDescent="0.25">
      <c r="A46" s="46"/>
      <c r="B46" s="46"/>
      <c r="C46" s="47"/>
      <c r="D46" s="48"/>
      <c r="E46" s="49"/>
      <c r="F46" s="48"/>
      <c r="G46" s="49"/>
      <c r="H46" s="48"/>
      <c r="I46" s="49"/>
      <c r="BF46" s="52"/>
      <c r="BG46" s="53"/>
      <c r="BH46" s="53"/>
      <c r="BI46" s="54"/>
      <c r="BJ46" s="54"/>
      <c r="BK46" s="48"/>
    </row>
    <row r="47" spans="1:63" s="51" customFormat="1" x14ac:dyDescent="0.25">
      <c r="A47" s="46"/>
      <c r="B47" s="46"/>
      <c r="C47" s="47"/>
      <c r="D47" s="48"/>
      <c r="E47" s="49"/>
      <c r="F47" s="48"/>
      <c r="G47" s="49"/>
      <c r="H47" s="48"/>
      <c r="I47" s="49"/>
      <c r="BF47" s="52"/>
      <c r="BG47" s="53"/>
      <c r="BH47" s="53"/>
      <c r="BI47" s="54"/>
      <c r="BJ47" s="54"/>
      <c r="BK47" s="48"/>
    </row>
    <row r="48" spans="1:63" s="51" customFormat="1" x14ac:dyDescent="0.25">
      <c r="A48" s="46"/>
      <c r="B48" s="46"/>
      <c r="C48" s="47"/>
      <c r="D48" s="48"/>
      <c r="E48" s="49"/>
      <c r="F48" s="48"/>
      <c r="G48" s="49"/>
      <c r="H48" s="48"/>
      <c r="I48" s="49"/>
      <c r="BF48" s="52"/>
      <c r="BG48" s="53"/>
      <c r="BH48" s="53"/>
      <c r="BI48" s="54"/>
      <c r="BJ48" s="54"/>
      <c r="BK48" s="48"/>
    </row>
    <row r="49" spans="1:63" s="51" customFormat="1" x14ac:dyDescent="0.25">
      <c r="A49" s="46"/>
      <c r="B49" s="46"/>
      <c r="C49" s="47"/>
      <c r="D49" s="48"/>
      <c r="E49" s="49"/>
      <c r="F49" s="48"/>
      <c r="G49" s="49"/>
      <c r="H49" s="48"/>
      <c r="I49" s="49"/>
      <c r="BF49" s="52"/>
      <c r="BG49" s="53"/>
      <c r="BH49" s="53"/>
      <c r="BI49" s="54"/>
      <c r="BJ49" s="54"/>
      <c r="BK49" s="48"/>
    </row>
    <row r="50" spans="1:63" s="51" customFormat="1" x14ac:dyDescent="0.25">
      <c r="A50" s="46"/>
      <c r="B50" s="46"/>
      <c r="C50" s="47"/>
      <c r="D50" s="48"/>
      <c r="E50" s="49"/>
      <c r="F50" s="48"/>
      <c r="G50" s="49"/>
      <c r="H50" s="48"/>
      <c r="I50" s="49"/>
      <c r="BF50" s="52"/>
      <c r="BG50" s="53"/>
      <c r="BH50" s="53"/>
      <c r="BI50" s="54"/>
      <c r="BJ50" s="54"/>
      <c r="BK50" s="48"/>
    </row>
    <row r="51" spans="1:63" s="51" customFormat="1" x14ac:dyDescent="0.25">
      <c r="A51" s="46"/>
      <c r="B51" s="46"/>
      <c r="C51" s="47"/>
      <c r="D51" s="48"/>
      <c r="E51" s="49"/>
      <c r="F51" s="48"/>
      <c r="G51" s="49"/>
      <c r="H51" s="48"/>
      <c r="I51" s="49"/>
      <c r="BF51" s="52"/>
      <c r="BG51" s="53"/>
      <c r="BH51" s="53"/>
      <c r="BI51" s="54"/>
      <c r="BJ51" s="54"/>
      <c r="BK51" s="48"/>
    </row>
    <row r="52" spans="1:63" s="51" customFormat="1" x14ac:dyDescent="0.25">
      <c r="A52" s="46"/>
      <c r="B52" s="46"/>
      <c r="C52" s="47"/>
      <c r="D52" s="48"/>
      <c r="E52" s="49"/>
      <c r="F52" s="48"/>
      <c r="G52" s="49"/>
      <c r="H52" s="48"/>
      <c r="I52" s="49"/>
      <c r="BF52" s="52"/>
      <c r="BG52" s="53"/>
      <c r="BH52" s="53"/>
      <c r="BI52" s="54"/>
      <c r="BJ52" s="54"/>
      <c r="BK52" s="48"/>
    </row>
    <row r="53" spans="1:63" s="51" customFormat="1" x14ac:dyDescent="0.25">
      <c r="A53" s="46"/>
      <c r="B53" s="46"/>
      <c r="C53" s="47"/>
      <c r="D53" s="48"/>
      <c r="E53" s="49"/>
      <c r="F53" s="48"/>
      <c r="G53" s="49"/>
      <c r="H53" s="48"/>
      <c r="I53" s="49"/>
      <c r="BF53" s="52"/>
      <c r="BG53" s="53"/>
      <c r="BH53" s="53"/>
      <c r="BI53" s="54"/>
      <c r="BJ53" s="54"/>
      <c r="BK53" s="48"/>
    </row>
    <row r="54" spans="1:63" s="51" customFormat="1" x14ac:dyDescent="0.25">
      <c r="A54" s="46"/>
      <c r="B54" s="46"/>
      <c r="C54" s="47"/>
      <c r="D54" s="48"/>
      <c r="E54" s="49"/>
      <c r="F54" s="48"/>
      <c r="G54" s="49"/>
      <c r="H54" s="48"/>
      <c r="I54" s="49"/>
      <c r="BF54" s="52"/>
      <c r="BG54" s="53"/>
      <c r="BH54" s="53"/>
      <c r="BI54" s="54"/>
      <c r="BJ54" s="54"/>
      <c r="BK54" s="48"/>
    </row>
    <row r="55" spans="1:63" s="51" customFormat="1" x14ac:dyDescent="0.25">
      <c r="A55" s="46"/>
      <c r="B55" s="46"/>
      <c r="C55" s="47"/>
      <c r="D55" s="48"/>
      <c r="E55" s="49"/>
      <c r="F55" s="48"/>
      <c r="G55" s="49"/>
      <c r="H55" s="48"/>
      <c r="I55" s="49"/>
      <c r="BF55" s="52"/>
      <c r="BG55" s="53"/>
      <c r="BH55" s="53"/>
      <c r="BI55" s="54"/>
      <c r="BJ55" s="54"/>
      <c r="BK55" s="48"/>
    </row>
    <row r="56" spans="1:63" s="51" customFormat="1" x14ac:dyDescent="0.25">
      <c r="A56" s="46"/>
      <c r="B56" s="46"/>
      <c r="C56" s="47"/>
      <c r="D56" s="48"/>
      <c r="E56" s="49"/>
      <c r="F56" s="48"/>
      <c r="G56" s="49"/>
      <c r="H56" s="48"/>
      <c r="I56" s="49"/>
      <c r="BF56" s="52"/>
      <c r="BG56" s="53"/>
      <c r="BH56" s="53"/>
      <c r="BI56" s="54"/>
      <c r="BJ56" s="54"/>
      <c r="BK56" s="48"/>
    </row>
    <row r="57" spans="1:63" s="51" customFormat="1" x14ac:dyDescent="0.25">
      <c r="A57" s="46"/>
      <c r="B57" s="46"/>
      <c r="C57" s="47"/>
      <c r="D57" s="48"/>
      <c r="E57" s="49"/>
      <c r="F57" s="48"/>
      <c r="G57" s="49"/>
      <c r="H57" s="48"/>
      <c r="I57" s="49"/>
      <c r="BF57" s="52"/>
      <c r="BG57" s="53"/>
      <c r="BH57" s="53"/>
      <c r="BI57" s="54"/>
      <c r="BJ57" s="54"/>
      <c r="BK57" s="48"/>
    </row>
    <row r="58" spans="1:63" s="51" customFormat="1" x14ac:dyDescent="0.25">
      <c r="A58" s="46"/>
      <c r="B58" s="46"/>
      <c r="C58" s="47"/>
      <c r="D58" s="48"/>
      <c r="E58" s="49"/>
      <c r="F58" s="48"/>
      <c r="G58" s="49"/>
      <c r="H58" s="48"/>
      <c r="I58" s="49"/>
      <c r="BF58" s="52"/>
      <c r="BG58" s="53"/>
      <c r="BH58" s="53"/>
      <c r="BI58" s="54"/>
      <c r="BJ58" s="54"/>
      <c r="BK58" s="48"/>
    </row>
    <row r="59" spans="1:63" s="51" customFormat="1" x14ac:dyDescent="0.25">
      <c r="A59" s="46"/>
      <c r="B59" s="46"/>
      <c r="C59" s="47"/>
      <c r="D59" s="48"/>
      <c r="E59" s="49"/>
      <c r="F59" s="48"/>
      <c r="G59" s="49"/>
      <c r="H59" s="48"/>
      <c r="I59" s="49"/>
      <c r="BF59" s="52"/>
      <c r="BG59" s="53"/>
      <c r="BH59" s="53"/>
      <c r="BI59" s="54"/>
      <c r="BJ59" s="54"/>
      <c r="BK59" s="48"/>
    </row>
    <row r="60" spans="1:63" s="51" customFormat="1" x14ac:dyDescent="0.25">
      <c r="A60" s="46"/>
      <c r="B60" s="46"/>
      <c r="C60" s="47"/>
      <c r="D60" s="48"/>
      <c r="E60" s="49"/>
      <c r="F60" s="48"/>
      <c r="G60" s="49"/>
      <c r="H60" s="48"/>
      <c r="I60" s="49"/>
      <c r="BF60" s="52"/>
      <c r="BG60" s="53"/>
      <c r="BH60" s="53"/>
      <c r="BI60" s="54"/>
      <c r="BJ60" s="54"/>
      <c r="BK60" s="48"/>
    </row>
    <row r="61" spans="1:63" s="51" customFormat="1" x14ac:dyDescent="0.25">
      <c r="A61" s="46"/>
      <c r="B61" s="46"/>
      <c r="C61" s="47"/>
      <c r="D61" s="48"/>
      <c r="E61" s="49"/>
      <c r="F61" s="48"/>
      <c r="G61" s="49"/>
      <c r="H61" s="48"/>
      <c r="I61" s="49"/>
      <c r="BF61" s="52"/>
      <c r="BG61" s="53"/>
      <c r="BH61" s="53"/>
      <c r="BI61" s="54"/>
      <c r="BJ61" s="54"/>
      <c r="BK61" s="48"/>
    </row>
    <row r="62" spans="1:63" s="51" customFormat="1" x14ac:dyDescent="0.25">
      <c r="A62" s="46"/>
      <c r="B62" s="46"/>
      <c r="C62" s="47"/>
      <c r="D62" s="48"/>
      <c r="E62" s="49"/>
      <c r="F62" s="48"/>
      <c r="G62" s="49"/>
      <c r="H62" s="48"/>
      <c r="I62" s="49"/>
      <c r="BF62" s="52"/>
      <c r="BG62" s="53"/>
      <c r="BH62" s="53"/>
      <c r="BI62" s="54"/>
      <c r="BJ62" s="54"/>
      <c r="BK62" s="48"/>
    </row>
    <row r="63" spans="1:63" s="51" customFormat="1" x14ac:dyDescent="0.25">
      <c r="A63" s="46"/>
      <c r="B63" s="46"/>
      <c r="C63" s="47"/>
      <c r="D63" s="48"/>
      <c r="E63" s="49"/>
      <c r="F63" s="48"/>
      <c r="G63" s="49"/>
      <c r="H63" s="48"/>
      <c r="I63" s="49"/>
      <c r="BF63" s="52"/>
      <c r="BG63" s="53"/>
      <c r="BH63" s="53"/>
      <c r="BI63" s="54"/>
      <c r="BJ63" s="54"/>
      <c r="BK63" s="48"/>
    </row>
    <row r="64" spans="1:63" s="51" customFormat="1" x14ac:dyDescent="0.25">
      <c r="A64" s="46"/>
      <c r="B64" s="46"/>
      <c r="C64" s="47"/>
      <c r="D64" s="48"/>
      <c r="E64" s="49"/>
      <c r="F64" s="48"/>
      <c r="G64" s="49"/>
      <c r="H64" s="48"/>
      <c r="I64" s="49"/>
      <c r="BF64" s="52"/>
      <c r="BG64" s="53"/>
      <c r="BH64" s="53"/>
      <c r="BI64" s="54"/>
      <c r="BJ64" s="54"/>
      <c r="BK64" s="48"/>
    </row>
    <row r="65" spans="1:63" s="51" customFormat="1" x14ac:dyDescent="0.25">
      <c r="A65" s="46"/>
      <c r="B65" s="46"/>
      <c r="C65" s="47"/>
      <c r="D65" s="48"/>
      <c r="E65" s="49"/>
      <c r="F65" s="48"/>
      <c r="G65" s="49"/>
      <c r="H65" s="48"/>
      <c r="I65" s="49"/>
      <c r="BF65" s="52"/>
      <c r="BG65" s="53"/>
      <c r="BH65" s="53"/>
      <c r="BI65" s="54"/>
      <c r="BJ65" s="54"/>
      <c r="BK65" s="48"/>
    </row>
    <row r="66" spans="1:63" s="51" customFormat="1" x14ac:dyDescent="0.25">
      <c r="A66" s="46"/>
      <c r="B66" s="46"/>
      <c r="C66" s="47"/>
      <c r="D66" s="48"/>
      <c r="E66" s="49"/>
      <c r="F66" s="48"/>
      <c r="G66" s="49"/>
      <c r="H66" s="48"/>
      <c r="I66" s="49"/>
      <c r="BF66" s="52"/>
      <c r="BG66" s="53"/>
      <c r="BH66" s="53"/>
      <c r="BI66" s="54"/>
      <c r="BJ66" s="54"/>
      <c r="BK66" s="48"/>
    </row>
    <row r="67" spans="1:63" s="51" customFormat="1" x14ac:dyDescent="0.25">
      <c r="A67" s="46"/>
      <c r="B67" s="46"/>
      <c r="C67" s="47"/>
      <c r="D67" s="48"/>
      <c r="E67" s="49"/>
      <c r="F67" s="48"/>
      <c r="G67" s="49"/>
      <c r="H67" s="48"/>
      <c r="I67" s="49"/>
      <c r="BF67" s="52"/>
      <c r="BG67" s="53"/>
      <c r="BH67" s="53"/>
      <c r="BI67" s="54"/>
      <c r="BJ67" s="54"/>
      <c r="BK67" s="48"/>
    </row>
    <row r="68" spans="1:63" s="51" customFormat="1" x14ac:dyDescent="0.25">
      <c r="A68" s="46"/>
      <c r="B68" s="46"/>
      <c r="C68" s="47"/>
      <c r="D68" s="48"/>
      <c r="E68" s="49"/>
      <c r="F68" s="48"/>
      <c r="G68" s="49"/>
      <c r="H68" s="48"/>
      <c r="I68" s="49"/>
      <c r="BF68" s="52"/>
      <c r="BG68" s="53"/>
      <c r="BH68" s="53"/>
      <c r="BI68" s="54"/>
      <c r="BJ68" s="54"/>
      <c r="BK68" s="48"/>
    </row>
    <row r="69" spans="1:63" s="51" customFormat="1" x14ac:dyDescent="0.25">
      <c r="A69" s="46"/>
      <c r="B69" s="46"/>
      <c r="C69" s="47"/>
      <c r="D69" s="48"/>
      <c r="E69" s="49"/>
      <c r="F69" s="48"/>
      <c r="G69" s="49"/>
      <c r="H69" s="48"/>
      <c r="I69" s="49"/>
      <c r="BF69" s="52"/>
      <c r="BG69" s="53"/>
      <c r="BH69" s="53"/>
      <c r="BI69" s="54"/>
      <c r="BJ69" s="54"/>
      <c r="BK69" s="48"/>
    </row>
    <row r="70" spans="1:63" s="51" customFormat="1" x14ac:dyDescent="0.25">
      <c r="A70" s="46"/>
      <c r="B70" s="46"/>
      <c r="C70" s="47"/>
      <c r="D70" s="48"/>
      <c r="E70" s="49"/>
      <c r="F70" s="48"/>
      <c r="G70" s="49"/>
      <c r="H70" s="48"/>
      <c r="I70" s="49"/>
      <c r="BF70" s="52"/>
      <c r="BG70" s="53"/>
      <c r="BH70" s="53"/>
      <c r="BI70" s="54"/>
      <c r="BJ70" s="54"/>
      <c r="BK70" s="48"/>
    </row>
    <row r="71" spans="1:63" s="51" customFormat="1" x14ac:dyDescent="0.25">
      <c r="A71" s="46"/>
      <c r="B71" s="46"/>
      <c r="C71" s="47"/>
      <c r="D71" s="48"/>
      <c r="E71" s="49"/>
      <c r="F71" s="48"/>
      <c r="G71" s="49"/>
      <c r="H71" s="48"/>
      <c r="I71" s="49"/>
      <c r="BF71" s="52"/>
      <c r="BG71" s="53"/>
      <c r="BH71" s="53"/>
      <c r="BI71" s="54"/>
      <c r="BJ71" s="54"/>
      <c r="BK71" s="48"/>
    </row>
    <row r="72" spans="1:63" s="51" customFormat="1" x14ac:dyDescent="0.25">
      <c r="A72" s="46"/>
      <c r="B72" s="46"/>
      <c r="C72" s="47"/>
      <c r="D72" s="48"/>
      <c r="E72" s="49"/>
      <c r="F72" s="48"/>
      <c r="G72" s="49"/>
      <c r="H72" s="48"/>
      <c r="I72" s="49"/>
      <c r="BF72" s="52"/>
      <c r="BG72" s="53"/>
      <c r="BH72" s="53"/>
      <c r="BI72" s="54"/>
      <c r="BJ72" s="54"/>
      <c r="BK72" s="48"/>
    </row>
    <row r="73" spans="1:63" s="51" customFormat="1" x14ac:dyDescent="0.25">
      <c r="A73" s="46"/>
      <c r="B73" s="46"/>
      <c r="C73" s="47"/>
      <c r="D73" s="48"/>
      <c r="E73" s="49"/>
      <c r="F73" s="48"/>
      <c r="G73" s="49"/>
      <c r="H73" s="48"/>
      <c r="I73" s="49"/>
      <c r="BF73" s="52"/>
      <c r="BG73" s="53"/>
      <c r="BH73" s="53"/>
      <c r="BI73" s="54"/>
      <c r="BJ73" s="54"/>
      <c r="BK73" s="48"/>
    </row>
    <row r="74" spans="1:63" s="51" customFormat="1" x14ac:dyDescent="0.25">
      <c r="A74" s="46"/>
      <c r="B74" s="46"/>
      <c r="C74" s="47"/>
      <c r="D74" s="48"/>
      <c r="E74" s="49"/>
      <c r="F74" s="48"/>
      <c r="G74" s="49"/>
      <c r="H74" s="48"/>
      <c r="I74" s="49"/>
      <c r="BF74" s="52"/>
      <c r="BG74" s="53"/>
      <c r="BH74" s="53"/>
      <c r="BI74" s="54"/>
      <c r="BJ74" s="54"/>
      <c r="BK74" s="48"/>
    </row>
    <row r="75" spans="1:63" s="51" customFormat="1" x14ac:dyDescent="0.25">
      <c r="A75" s="46"/>
      <c r="B75" s="46"/>
      <c r="C75" s="47"/>
      <c r="D75" s="48"/>
      <c r="E75" s="49"/>
      <c r="F75" s="48"/>
      <c r="G75" s="49"/>
      <c r="H75" s="48"/>
      <c r="I75" s="49"/>
      <c r="BF75" s="52"/>
      <c r="BG75" s="53"/>
      <c r="BH75" s="53"/>
      <c r="BI75" s="54"/>
      <c r="BJ75" s="54"/>
      <c r="BK75" s="48"/>
    </row>
    <row r="76" spans="1:63" s="51" customFormat="1" x14ac:dyDescent="0.25">
      <c r="A76" s="46"/>
      <c r="B76" s="46"/>
      <c r="C76" s="47"/>
      <c r="D76" s="48"/>
      <c r="E76" s="49"/>
      <c r="F76" s="48"/>
      <c r="G76" s="49"/>
      <c r="H76" s="48"/>
      <c r="I76" s="49"/>
      <c r="BF76" s="52"/>
      <c r="BG76" s="53"/>
      <c r="BH76" s="53"/>
      <c r="BI76" s="54"/>
      <c r="BJ76" s="54"/>
      <c r="BK76" s="48"/>
    </row>
    <row r="77" spans="1:63" s="51" customFormat="1" x14ac:dyDescent="0.25">
      <c r="A77" s="46"/>
      <c r="B77" s="46"/>
      <c r="C77" s="47"/>
      <c r="D77" s="48"/>
      <c r="E77" s="49"/>
      <c r="F77" s="48"/>
      <c r="G77" s="49"/>
      <c r="H77" s="48"/>
      <c r="I77" s="49"/>
      <c r="BF77" s="52"/>
      <c r="BG77" s="53"/>
      <c r="BH77" s="53"/>
      <c r="BI77" s="54"/>
      <c r="BJ77" s="54"/>
      <c r="BK77" s="48"/>
    </row>
    <row r="78" spans="1:63" s="51" customFormat="1" x14ac:dyDescent="0.25">
      <c r="A78" s="46"/>
      <c r="B78" s="46"/>
      <c r="C78" s="47"/>
      <c r="D78" s="48"/>
      <c r="E78" s="49"/>
      <c r="F78" s="48"/>
      <c r="G78" s="49"/>
      <c r="H78" s="48"/>
      <c r="I78" s="49"/>
      <c r="BF78" s="52"/>
      <c r="BG78" s="53"/>
      <c r="BH78" s="53"/>
      <c r="BI78" s="54"/>
      <c r="BJ78" s="54"/>
      <c r="BK78" s="48"/>
    </row>
    <row r="79" spans="1:63" s="51" customFormat="1" x14ac:dyDescent="0.25">
      <c r="A79" s="46"/>
      <c r="B79" s="46"/>
      <c r="C79" s="47"/>
      <c r="D79" s="48"/>
      <c r="E79" s="49"/>
      <c r="F79" s="48"/>
      <c r="G79" s="49"/>
      <c r="H79" s="48"/>
      <c r="I79" s="49"/>
      <c r="BF79" s="52"/>
      <c r="BG79" s="53"/>
      <c r="BH79" s="53"/>
      <c r="BI79" s="54"/>
      <c r="BJ79" s="54"/>
      <c r="BK79" s="48"/>
    </row>
    <row r="80" spans="1:63" s="51" customFormat="1" x14ac:dyDescent="0.25">
      <c r="A80" s="46"/>
      <c r="B80" s="46"/>
      <c r="C80" s="47"/>
      <c r="D80" s="48"/>
      <c r="E80" s="49"/>
      <c r="F80" s="48"/>
      <c r="G80" s="49"/>
      <c r="H80" s="48"/>
      <c r="I80" s="49"/>
      <c r="BF80" s="52"/>
      <c r="BG80" s="53"/>
      <c r="BH80" s="53"/>
      <c r="BI80" s="54"/>
      <c r="BJ80" s="54"/>
      <c r="BK80" s="48"/>
    </row>
    <row r="81" spans="1:63" s="51" customFormat="1" x14ac:dyDescent="0.25">
      <c r="A81" s="46"/>
      <c r="B81" s="46"/>
      <c r="C81" s="47"/>
      <c r="D81" s="48"/>
      <c r="E81" s="49"/>
      <c r="F81" s="48"/>
      <c r="G81" s="49"/>
      <c r="H81" s="48"/>
      <c r="I81" s="49"/>
      <c r="BF81" s="52"/>
      <c r="BG81" s="53"/>
      <c r="BH81" s="53"/>
      <c r="BI81" s="54"/>
      <c r="BJ81" s="54"/>
      <c r="BK81" s="48"/>
    </row>
    <row r="82" spans="1:63" s="51" customFormat="1" x14ac:dyDescent="0.25">
      <c r="A82" s="46"/>
      <c r="B82" s="46"/>
      <c r="C82" s="47"/>
      <c r="D82" s="48"/>
      <c r="E82" s="49"/>
      <c r="F82" s="48"/>
      <c r="G82" s="49"/>
      <c r="H82" s="48"/>
      <c r="I82" s="49"/>
      <c r="BF82" s="52"/>
      <c r="BG82" s="53"/>
      <c r="BH82" s="53"/>
      <c r="BI82" s="54"/>
      <c r="BJ82" s="54"/>
      <c r="BK82" s="48"/>
    </row>
    <row r="83" spans="1:63" s="51" customFormat="1" x14ac:dyDescent="0.25">
      <c r="A83" s="46"/>
      <c r="B83" s="46"/>
      <c r="C83" s="47"/>
      <c r="D83" s="48"/>
      <c r="E83" s="49"/>
      <c r="F83" s="48"/>
      <c r="G83" s="49"/>
      <c r="H83" s="48"/>
      <c r="I83" s="49"/>
      <c r="BF83" s="52"/>
      <c r="BG83" s="53"/>
      <c r="BH83" s="53"/>
      <c r="BI83" s="54"/>
      <c r="BJ83" s="54"/>
      <c r="BK83" s="48"/>
    </row>
    <row r="84" spans="1:63" s="51" customFormat="1" x14ac:dyDescent="0.25">
      <c r="A84" s="46"/>
      <c r="B84" s="46"/>
      <c r="C84" s="47"/>
      <c r="D84" s="48"/>
      <c r="E84" s="49"/>
      <c r="F84" s="48"/>
      <c r="G84" s="49"/>
      <c r="H84" s="48"/>
      <c r="I84" s="49"/>
      <c r="BF84" s="52"/>
      <c r="BG84" s="53"/>
      <c r="BH84" s="53"/>
      <c r="BI84" s="54"/>
      <c r="BJ84" s="54"/>
      <c r="BK84" s="48"/>
    </row>
    <row r="85" spans="1:63" s="51" customFormat="1" x14ac:dyDescent="0.25">
      <c r="A85" s="46"/>
      <c r="B85" s="46"/>
      <c r="C85" s="47"/>
      <c r="D85" s="48"/>
      <c r="E85" s="49"/>
      <c r="F85" s="48"/>
      <c r="G85" s="49"/>
      <c r="H85" s="48"/>
      <c r="I85" s="49"/>
      <c r="BF85" s="52"/>
      <c r="BG85" s="53"/>
      <c r="BH85" s="53"/>
      <c r="BI85" s="54"/>
      <c r="BJ85" s="54"/>
      <c r="BK85" s="48"/>
    </row>
    <row r="86" spans="1:63" s="51" customFormat="1" x14ac:dyDescent="0.25">
      <c r="A86" s="46"/>
      <c r="B86" s="46"/>
      <c r="C86" s="47"/>
      <c r="D86" s="48"/>
      <c r="E86" s="49"/>
      <c r="F86" s="48"/>
      <c r="G86" s="49"/>
      <c r="H86" s="48"/>
      <c r="I86" s="49"/>
      <c r="BF86" s="52"/>
      <c r="BG86" s="53"/>
      <c r="BH86" s="53"/>
      <c r="BI86" s="54"/>
      <c r="BJ86" s="54"/>
      <c r="BK86" s="48"/>
    </row>
    <row r="87" spans="1:63" s="51" customFormat="1" x14ac:dyDescent="0.25">
      <c r="A87" s="46"/>
      <c r="B87" s="46"/>
      <c r="C87" s="47"/>
      <c r="D87" s="48"/>
      <c r="E87" s="49"/>
      <c r="F87" s="48"/>
      <c r="G87" s="49"/>
      <c r="H87" s="48"/>
      <c r="I87" s="49"/>
      <c r="BF87" s="52"/>
      <c r="BG87" s="53"/>
      <c r="BH87" s="53"/>
      <c r="BI87" s="54"/>
      <c r="BJ87" s="54"/>
      <c r="BK87" s="48"/>
    </row>
    <row r="88" spans="1:63" s="51" customFormat="1" x14ac:dyDescent="0.25">
      <c r="A88" s="46"/>
      <c r="B88" s="46"/>
      <c r="C88" s="47"/>
      <c r="D88" s="48"/>
      <c r="E88" s="49"/>
      <c r="F88" s="48"/>
      <c r="G88" s="49"/>
      <c r="H88" s="48"/>
      <c r="I88" s="49"/>
      <c r="BF88" s="52"/>
      <c r="BG88" s="53"/>
      <c r="BH88" s="53"/>
      <c r="BI88" s="54"/>
      <c r="BJ88" s="54"/>
      <c r="BK88" s="48"/>
    </row>
    <row r="89" spans="1:63" s="51" customFormat="1" x14ac:dyDescent="0.25">
      <c r="A89" s="46"/>
      <c r="B89" s="46"/>
      <c r="C89" s="47"/>
      <c r="D89" s="48"/>
      <c r="E89" s="49"/>
      <c r="F89" s="48"/>
      <c r="G89" s="49"/>
      <c r="H89" s="48"/>
      <c r="I89" s="49"/>
      <c r="BF89" s="52"/>
      <c r="BG89" s="53"/>
      <c r="BH89" s="53"/>
      <c r="BI89" s="54"/>
      <c r="BJ89" s="54"/>
      <c r="BK89" s="48"/>
    </row>
    <row r="90" spans="1:63" s="51" customFormat="1" x14ac:dyDescent="0.25">
      <c r="A90" s="46"/>
      <c r="B90" s="46"/>
      <c r="C90" s="47"/>
      <c r="D90" s="48"/>
      <c r="E90" s="49"/>
      <c r="F90" s="48"/>
      <c r="G90" s="49"/>
      <c r="H90" s="48"/>
      <c r="I90" s="49"/>
      <c r="BF90" s="52"/>
      <c r="BG90" s="53"/>
      <c r="BH90" s="53"/>
      <c r="BI90" s="54"/>
      <c r="BJ90" s="54"/>
      <c r="BK90" s="48"/>
    </row>
    <row r="91" spans="1:63" s="51" customFormat="1" x14ac:dyDescent="0.25">
      <c r="A91" s="46"/>
      <c r="B91" s="46"/>
      <c r="C91" s="47"/>
      <c r="D91" s="48"/>
      <c r="E91" s="49"/>
      <c r="F91" s="48"/>
      <c r="G91" s="49"/>
      <c r="H91" s="48"/>
      <c r="I91" s="49"/>
      <c r="BF91" s="52"/>
      <c r="BG91" s="53"/>
      <c r="BH91" s="53"/>
      <c r="BI91" s="54"/>
      <c r="BJ91" s="54"/>
      <c r="BK91" s="48"/>
    </row>
    <row r="92" spans="1:63" s="51" customFormat="1" x14ac:dyDescent="0.25">
      <c r="A92" s="46"/>
      <c r="B92" s="46"/>
      <c r="C92" s="47"/>
      <c r="D92" s="48"/>
      <c r="E92" s="49"/>
      <c r="F92" s="48"/>
      <c r="G92" s="49"/>
      <c r="H92" s="48"/>
      <c r="I92" s="49"/>
      <c r="BF92" s="52"/>
      <c r="BG92" s="53"/>
      <c r="BH92" s="53"/>
      <c r="BI92" s="54"/>
      <c r="BJ92" s="54"/>
      <c r="BK92" s="48"/>
    </row>
    <row r="93" spans="1:63" s="51" customFormat="1" x14ac:dyDescent="0.25">
      <c r="A93" s="46"/>
      <c r="B93" s="46"/>
      <c r="C93" s="47"/>
      <c r="D93" s="48"/>
      <c r="E93" s="49"/>
      <c r="F93" s="48"/>
      <c r="G93" s="49"/>
      <c r="H93" s="48"/>
      <c r="I93" s="49"/>
      <c r="BF93" s="52"/>
      <c r="BG93" s="53"/>
      <c r="BH93" s="53"/>
      <c r="BI93" s="54"/>
      <c r="BJ93" s="54"/>
      <c r="BK93" s="48"/>
    </row>
    <row r="94" spans="1:63" s="51" customFormat="1" x14ac:dyDescent="0.25">
      <c r="A94" s="46"/>
      <c r="B94" s="46"/>
      <c r="C94" s="47"/>
      <c r="D94" s="48"/>
      <c r="E94" s="49"/>
      <c r="F94" s="48"/>
      <c r="G94" s="49"/>
      <c r="H94" s="48"/>
      <c r="I94" s="49"/>
      <c r="BF94" s="52"/>
      <c r="BG94" s="53"/>
      <c r="BH94" s="53"/>
      <c r="BI94" s="54"/>
      <c r="BJ94" s="54"/>
      <c r="BK94" s="48"/>
    </row>
    <row r="95" spans="1:63" s="51" customFormat="1" x14ac:dyDescent="0.25">
      <c r="A95" s="46"/>
      <c r="B95" s="46"/>
      <c r="C95" s="47"/>
      <c r="D95" s="48"/>
      <c r="E95" s="49"/>
      <c r="F95" s="48"/>
      <c r="G95" s="49"/>
      <c r="H95" s="48"/>
      <c r="I95" s="49"/>
      <c r="BF95" s="52"/>
      <c r="BG95" s="53"/>
      <c r="BH95" s="53"/>
      <c r="BI95" s="54"/>
      <c r="BJ95" s="54"/>
      <c r="BK95" s="48"/>
    </row>
    <row r="96" spans="1:63" s="51" customFormat="1" x14ac:dyDescent="0.25">
      <c r="A96" s="46"/>
      <c r="B96" s="46"/>
      <c r="C96" s="47"/>
      <c r="D96" s="48"/>
      <c r="E96" s="49"/>
      <c r="F96" s="48"/>
      <c r="G96" s="49"/>
      <c r="H96" s="48"/>
      <c r="I96" s="49"/>
      <c r="BF96" s="52"/>
      <c r="BG96" s="53"/>
      <c r="BH96" s="53"/>
      <c r="BI96" s="54"/>
      <c r="BJ96" s="54"/>
      <c r="BK96" s="48"/>
    </row>
    <row r="97" spans="1:63" s="51" customFormat="1" x14ac:dyDescent="0.25">
      <c r="A97" s="46"/>
      <c r="B97" s="46"/>
      <c r="C97" s="47"/>
      <c r="D97" s="48"/>
      <c r="E97" s="49"/>
      <c r="F97" s="48"/>
      <c r="G97" s="49"/>
      <c r="H97" s="48"/>
      <c r="I97" s="49"/>
      <c r="BF97" s="52"/>
      <c r="BG97" s="53"/>
      <c r="BH97" s="53"/>
      <c r="BI97" s="54"/>
      <c r="BJ97" s="54"/>
      <c r="BK97" s="48"/>
    </row>
    <row r="98" spans="1:63" s="51" customFormat="1" x14ac:dyDescent="0.25">
      <c r="A98" s="46"/>
      <c r="B98" s="46"/>
      <c r="C98" s="47"/>
      <c r="D98" s="48"/>
      <c r="E98" s="49"/>
      <c r="F98" s="48"/>
      <c r="G98" s="49"/>
      <c r="H98" s="48"/>
      <c r="I98" s="49"/>
      <c r="BF98" s="52"/>
      <c r="BG98" s="53"/>
      <c r="BH98" s="53"/>
      <c r="BI98" s="54"/>
      <c r="BJ98" s="54"/>
      <c r="BK98" s="48"/>
    </row>
    <row r="99" spans="1:63" s="51" customFormat="1" x14ac:dyDescent="0.25">
      <c r="A99" s="46"/>
      <c r="B99" s="46"/>
      <c r="C99" s="47"/>
      <c r="D99" s="48"/>
      <c r="E99" s="49"/>
      <c r="F99" s="48"/>
      <c r="G99" s="49"/>
      <c r="H99" s="48"/>
      <c r="I99" s="49"/>
      <c r="BF99" s="52"/>
      <c r="BG99" s="53"/>
      <c r="BH99" s="53"/>
      <c r="BI99" s="54"/>
      <c r="BJ99" s="54"/>
      <c r="BK99" s="48"/>
    </row>
    <row r="100" spans="1:63" s="51" customFormat="1" x14ac:dyDescent="0.25">
      <c r="A100" s="46"/>
      <c r="B100" s="46"/>
      <c r="C100" s="47"/>
      <c r="D100" s="48"/>
      <c r="E100" s="49"/>
      <c r="F100" s="48"/>
      <c r="G100" s="49"/>
      <c r="H100" s="48"/>
      <c r="I100" s="49"/>
      <c r="BF100" s="52"/>
      <c r="BG100" s="53"/>
      <c r="BH100" s="53"/>
      <c r="BI100" s="54"/>
      <c r="BJ100" s="54"/>
      <c r="BK100" s="48"/>
    </row>
  </sheetData>
  <mergeCells count="16">
    <mergeCell ref="B3:I3"/>
    <mergeCell ref="D5:E5"/>
    <mergeCell ref="F5:G5"/>
    <mergeCell ref="H5:I5"/>
    <mergeCell ref="D10:E10"/>
    <mergeCell ref="F10:G10"/>
    <mergeCell ref="H10:I10"/>
    <mergeCell ref="H13:I13"/>
    <mergeCell ref="H14:I14"/>
    <mergeCell ref="H15:I15"/>
    <mergeCell ref="D11:E11"/>
    <mergeCell ref="F11:G11"/>
    <mergeCell ref="H11:I11"/>
    <mergeCell ref="D12:E12"/>
    <mergeCell ref="F12:G12"/>
    <mergeCell ref="H12:I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"/>
  <sheetViews>
    <sheetView zoomScale="75" zoomScaleNormal="75" workbookViewId="0">
      <selection activeCell="I8" sqref="I8"/>
    </sheetView>
  </sheetViews>
  <sheetFormatPr defaultRowHeight="15.75" x14ac:dyDescent="0.25"/>
  <cols>
    <col min="1" max="2" width="10.625" style="18" customWidth="1"/>
    <col min="3" max="3" width="23" style="20" customWidth="1"/>
    <col min="4" max="4" width="12.875" style="1" customWidth="1"/>
    <col min="5" max="5" width="12.875" style="22" customWidth="1"/>
    <col min="6" max="6" width="12.875" style="1" customWidth="1"/>
    <col min="7" max="7" width="12.875" style="22" customWidth="1"/>
    <col min="8" max="8" width="15.875" style="1" customWidth="1"/>
    <col min="9" max="9" width="19" style="26" customWidth="1"/>
    <col min="10" max="10" width="1.625" customWidth="1"/>
    <col min="11" max="57" width="0.75" customWidth="1"/>
    <col min="58" max="58" width="11.625" style="25" customWidth="1"/>
    <col min="59" max="59" width="16.375" style="12" customWidth="1"/>
    <col min="60" max="60" width="13.375" style="12" customWidth="1"/>
    <col min="61" max="61" width="11.625" style="10" customWidth="1"/>
    <col min="62" max="62" width="13.25" style="22" customWidth="1"/>
    <col min="63" max="63" width="0.75" customWidth="1"/>
    <col min="64" max="66" width="11.5" customWidth="1"/>
  </cols>
  <sheetData>
    <row r="1" spans="1:81" s="2" customFormat="1" ht="18" thickBot="1" x14ac:dyDescent="0.3">
      <c r="A1" s="17" t="s">
        <v>24</v>
      </c>
      <c r="B1" s="27" t="s">
        <v>11</v>
      </c>
      <c r="C1" s="19" t="s">
        <v>30</v>
      </c>
      <c r="D1" s="14" t="s">
        <v>28</v>
      </c>
      <c r="E1" s="21" t="s">
        <v>10</v>
      </c>
      <c r="F1" s="15" t="s">
        <v>29</v>
      </c>
      <c r="G1" s="23" t="s">
        <v>9</v>
      </c>
      <c r="H1" s="16" t="s">
        <v>32</v>
      </c>
      <c r="I1" s="24" t="s">
        <v>33</v>
      </c>
      <c r="J1" s="35" t="s">
        <v>25</v>
      </c>
      <c r="K1" s="36" t="s">
        <v>10</v>
      </c>
      <c r="L1" s="36" t="s">
        <v>9</v>
      </c>
      <c r="M1" s="37" t="s">
        <v>15</v>
      </c>
      <c r="N1" s="38" t="s">
        <v>98</v>
      </c>
      <c r="O1" s="38" t="s">
        <v>99</v>
      </c>
      <c r="P1" s="38" t="s">
        <v>100</v>
      </c>
      <c r="Q1" s="38" t="s">
        <v>101</v>
      </c>
      <c r="R1" s="38" t="s">
        <v>102</v>
      </c>
      <c r="S1" s="38" t="s">
        <v>103</v>
      </c>
      <c r="T1" s="38" t="s">
        <v>104</v>
      </c>
      <c r="U1" s="38" t="s">
        <v>105</v>
      </c>
      <c r="V1" s="38" t="s">
        <v>55</v>
      </c>
      <c r="W1" s="38" t="s">
        <v>57</v>
      </c>
      <c r="X1" s="38" t="s">
        <v>56</v>
      </c>
      <c r="Y1" s="38" t="s">
        <v>58</v>
      </c>
      <c r="Z1" s="38" t="s">
        <v>59</v>
      </c>
      <c r="AA1" s="38" t="s">
        <v>60</v>
      </c>
      <c r="AB1" s="38" t="s">
        <v>61</v>
      </c>
      <c r="AC1" s="38" t="s">
        <v>62</v>
      </c>
      <c r="AD1" s="38" t="s">
        <v>63</v>
      </c>
      <c r="AE1" s="38" t="s">
        <v>64</v>
      </c>
      <c r="AF1" s="38" t="s">
        <v>65</v>
      </c>
      <c r="AG1" s="38" t="s">
        <v>66</v>
      </c>
      <c r="AH1" s="38" t="s">
        <v>67</v>
      </c>
      <c r="AI1" s="38" t="s">
        <v>68</v>
      </c>
      <c r="AJ1" s="38" t="s">
        <v>69</v>
      </c>
      <c r="AK1" s="38" t="s">
        <v>70</v>
      </c>
      <c r="AL1" s="38" t="s">
        <v>71</v>
      </c>
      <c r="AM1" s="38" t="s">
        <v>72</v>
      </c>
      <c r="AN1" s="38" t="s">
        <v>73</v>
      </c>
      <c r="AO1" s="38" t="s">
        <v>74</v>
      </c>
      <c r="AP1" s="38" t="s">
        <v>75</v>
      </c>
      <c r="AQ1" s="38" t="s">
        <v>76</v>
      </c>
      <c r="AR1" s="38" t="s">
        <v>77</v>
      </c>
      <c r="AS1" s="38" t="s">
        <v>78</v>
      </c>
      <c r="AT1" s="38" t="s">
        <v>79</v>
      </c>
      <c r="AU1" s="38" t="s">
        <v>80</v>
      </c>
      <c r="AV1" s="38" t="s">
        <v>81</v>
      </c>
      <c r="AW1" s="38" t="s">
        <v>82</v>
      </c>
      <c r="AX1" s="38" t="s">
        <v>83</v>
      </c>
      <c r="AY1" s="38" t="s">
        <v>84</v>
      </c>
      <c r="AZ1" s="38" t="s">
        <v>85</v>
      </c>
      <c r="BA1" s="38" t="s">
        <v>86</v>
      </c>
      <c r="BB1" s="37" t="s">
        <v>7</v>
      </c>
      <c r="BC1" s="37" t="s">
        <v>40</v>
      </c>
      <c r="BD1" s="37" t="s">
        <v>8</v>
      </c>
      <c r="BE1" s="37" t="s">
        <v>27</v>
      </c>
      <c r="BF1" s="34" t="s">
        <v>37</v>
      </c>
      <c r="BG1" s="39" t="s">
        <v>88</v>
      </c>
      <c r="BH1" s="39" t="s">
        <v>87</v>
      </c>
      <c r="BI1" s="37" t="s">
        <v>12</v>
      </c>
      <c r="BJ1" s="40" t="s">
        <v>26</v>
      </c>
      <c r="BL1" s="8" t="s">
        <v>31</v>
      </c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16.5" thickBot="1" x14ac:dyDescent="0.3">
      <c r="C2" s="18"/>
      <c r="I2" s="13"/>
      <c r="J2" s="41">
        <f>IF(H2&gt;0,H2*10,I2)</f>
        <v>0</v>
      </c>
      <c r="K2" s="42">
        <f>IF(D2&gt;0,D2*2.54,E2)</f>
        <v>0</v>
      </c>
      <c r="L2" s="42">
        <f>IF(F2&gt;0,F2*0.453592,G2)</f>
        <v>0</v>
      </c>
      <c r="M2" s="42">
        <f>IF(C2="M",1,IF(C2="Male",1,0))</f>
        <v>0</v>
      </c>
      <c r="N2" s="42">
        <f>IF(AND(B2&lt;45,M2=0),4*BF2+22.3,0)</f>
        <v>22.3</v>
      </c>
      <c r="O2" s="42">
        <f>IF(AND(B2&gt;=45,B2&lt;55,M2=0),7*BF2+18.7,0)</f>
        <v>0</v>
      </c>
      <c r="P2" s="42">
        <f>IF(AND(B2&gt;=55,B2&lt;65,M2=0),5.34*BF2+22.7,0)</f>
        <v>0</v>
      </c>
      <c r="Q2" s="42">
        <f>IF(AND(B2&gt;=65,M2=0),3.9*BF2+26.3,0)</f>
        <v>0</v>
      </c>
      <c r="R2" s="42">
        <f>IF(AND(B2&lt;45,M2=1),5.7*BF2+19.6,0)</f>
        <v>0</v>
      </c>
      <c r="S2" s="42">
        <f>IF(AND(B2&gt;=45,B2&lt;55,M2=1),5.7*BF2+21.6,0)</f>
        <v>0</v>
      </c>
      <c r="T2" s="42">
        <f>IF(AND(B2&gt;=55,B2&lt;65,M2=1),6.6*BF2+21.3,0)</f>
        <v>0</v>
      </c>
      <c r="U2" s="42">
        <f>IF(AND(B2&gt;=65,M2=1),4.3*BF2+27.1,0)</f>
        <v>0</v>
      </c>
      <c r="V2" s="42">
        <f>IF(AND($M2=0,$B2&lt;45,$BF2&lt;1.7),2.7,0)</f>
        <v>2.7</v>
      </c>
      <c r="W2" s="42">
        <f>IF(AND($M2=0,$B2&lt;45,$BF2&gt;=1.7,$BF2&lt;1.9),2.2,0)</f>
        <v>0</v>
      </c>
      <c r="X2" s="42">
        <f>IF(AND($M2=0,$B2&lt;45,$BF2&gt;=1.9,$BF2&lt;2.1),2.6,0)</f>
        <v>0</v>
      </c>
      <c r="Y2" s="42">
        <f>IF(AND($M2=0,$B2&lt;45,$BF2&gt;=2.1),3.2,0)</f>
        <v>0</v>
      </c>
      <c r="Z2" s="42">
        <f>IF(AND($M2=0,$B2&gt;=45,$B2&lt;55,$BF2&lt;1.7),2.8,0)</f>
        <v>0</v>
      </c>
      <c r="AA2" s="42">
        <f>IF(AND($M2=0,$B2&gt;=45,$B2&lt;55,$BF2&gt;=1.7,$BF2&lt;1.9),2.9,0)</f>
        <v>0</v>
      </c>
      <c r="AB2" s="42">
        <f>IF(AND($M2=0,$B2&gt;=45,$B2&lt;55,$BF2&gt;=1.9,$BF2&lt;2.1),3.2,0)</f>
        <v>0</v>
      </c>
      <c r="AC2" s="42">
        <f>IF(AND($M2=0,$B2&gt;=45,$B2&lt;55,$BF2&gt;=2.1),3.1,0)</f>
        <v>0</v>
      </c>
      <c r="AD2" s="42">
        <f>IF(AND($M2=0,$B2&gt;=55,$B2&lt;65,$BF2&lt;1.7),2.9,0)</f>
        <v>0</v>
      </c>
      <c r="AE2" s="42">
        <f>IF(AND($M2=0,$B2&gt;=55,$B2&lt;65,$BF2&gt;=1.7,$BF2&lt;1.9),2.6,0)</f>
        <v>0</v>
      </c>
      <c r="AF2" s="42">
        <f>IF(AND($M2=0,$B2&gt;=55,$B2&lt;65,$BF2&gt;=1.9,$BF2&lt;2.1),3,0)</f>
        <v>0</v>
      </c>
      <c r="AG2" s="42">
        <f>IF(AND($M2=0,$B2&gt;=55,$B2&lt;65,$BF2&gt;=2.1),3.3,0)</f>
        <v>0</v>
      </c>
      <c r="AH2" s="42">
        <f>IF(AND($M2=0,$B2&gt;=65,$BF2&lt;1.7),2.5,0)</f>
        <v>0</v>
      </c>
      <c r="AI2" s="42">
        <f>IF(AND($M2=0,$B2&gt;=65,$BF2&gt;=1.7,$BF2&lt;1.9),2.9,0)</f>
        <v>0</v>
      </c>
      <c r="AJ2" s="42">
        <f>IF(AND($M2=0,$B2&gt;=65,$BF2&gt;=1.9,$BF2&lt;2.1),4.2,0)</f>
        <v>0</v>
      </c>
      <c r="AK2" s="42">
        <f>IF(AND($M2=0,$B2&gt;=65,$BF2&gt;=2.1),3.2,0)</f>
        <v>0</v>
      </c>
      <c r="AL2" s="42">
        <f>IF(AND($M2=1,$B2&lt;45,$BF2&lt;1.7),2.2,0)</f>
        <v>0</v>
      </c>
      <c r="AM2" s="42">
        <f>IF(AND($M2=1,$B2&lt;45,$BF2&gt;=1.7,$BF2&lt;1.9),3.1,0)</f>
        <v>0</v>
      </c>
      <c r="AN2" s="42">
        <f>IF(AND($M2=1,$B2&lt;45,$BF2&gt;=1.9,$BF2&lt;2.1),2.7,0)</f>
        <v>0</v>
      </c>
      <c r="AO2" s="42">
        <f>IF(AND($M2=1,$B2&lt;45,$BF2&gt;=2.1),3,0)</f>
        <v>0</v>
      </c>
      <c r="AP2" s="42">
        <f>IF(AND($M2=1,$B2&gt;=45,$B2&lt;55,$BF2&lt;1.7),3.8,0)</f>
        <v>0</v>
      </c>
      <c r="AQ2" s="42">
        <f>IF(AND($M2=1,$B2&gt;=45,$B2&lt;55,$BF2&gt;=1.7,$BF2&lt;1.9),3.2,0)</f>
        <v>0</v>
      </c>
      <c r="AR2" s="42">
        <f>IF(AND($M2=1,$B2&gt;=45,$B2&lt;55,$BF2&gt;=1.9,$BF2&lt;2.1),3.3,0)</f>
        <v>0</v>
      </c>
      <c r="AS2" s="42">
        <f>IF(AND($M2=1,$B2&gt;=45,$B2&lt;55,$BF2&gt;=2.1),3.1,0)</f>
        <v>0</v>
      </c>
      <c r="AT2" s="42">
        <f>IF(AND($M2=1,$B2&gt;=55,$B2&lt;65,$BF2&lt;1.7),2.4,0)</f>
        <v>0</v>
      </c>
      <c r="AU2" s="42">
        <f>IF(AND($M2=1,$B2&gt;=55,$B2&lt;65,$BF2&gt;=1.7,$BF2&lt;1.9),3.1,0)</f>
        <v>0</v>
      </c>
      <c r="AV2" s="42">
        <f>IF(AND($M2=1,$B2&gt;=55,$B2&lt;65,$BF2&gt;=1.9,$BF2&lt;2.1),3.3,0)</f>
        <v>0</v>
      </c>
      <c r="AW2" s="42">
        <f>IF(AND($M2=1,$B2&gt;=55,$B2&lt;65,$BF2&gt;=2.1),3.5,0)</f>
        <v>0</v>
      </c>
      <c r="AX2" s="42">
        <f>IF(AND($M2=1,$B2&gt;=65,$BF2&lt;1.7),2.3,0)</f>
        <v>0</v>
      </c>
      <c r="AY2" s="42">
        <f>IF(AND($M2=1,$B2&gt;=65,$BF2&gt;=1.7,$BF2&lt;1.9),3,0)</f>
        <v>0</v>
      </c>
      <c r="AZ2" s="42">
        <f>IF(AND($M2=1,$B2&gt;=65,$BF2&gt;=1.9,$BF2&lt;2.1),3.2,0)</f>
        <v>0</v>
      </c>
      <c r="BA2" s="42">
        <f>IF(AND($M2=1,$B2&gt;=65,$BF2&gt;=2.1),2.8,0)</f>
        <v>0</v>
      </c>
      <c r="BB2" s="42">
        <f>MAX(V2:BA2)</f>
        <v>2.7</v>
      </c>
      <c r="BC2" s="42">
        <f>IF(AND($J2&gt;=$BG2+$BB2*2,$J2&lt;$BG2*1.5),1,0)</f>
        <v>0</v>
      </c>
      <c r="BD2" s="42">
        <f>IF($J2&gt;=1.5*$BG2,1,0)</f>
        <v>0</v>
      </c>
      <c r="BE2" s="42">
        <f>IF($J2&lt;=$BG2-$BB2*2,1,0)</f>
        <v>1</v>
      </c>
      <c r="BF2" s="43">
        <f>(K2^0.725)*(L2^0.425)*0.007184</f>
        <v>0</v>
      </c>
      <c r="BG2" s="11">
        <f>MAX(N2:U2)</f>
        <v>22.3</v>
      </c>
      <c r="BH2" s="31">
        <f>J2/BG2</f>
        <v>0</v>
      </c>
      <c r="BI2" s="32">
        <f>(J2-BG2)/BB2</f>
        <v>-8.2592592592592595</v>
      </c>
      <c r="BJ2" s="33" t="str">
        <f>IF($BC2=1,"Ectasia",IF($BD2=1,"Aneurysm",IF($BE2=1,"Hypoplastic","Normal")))</f>
        <v>Hypoplastic</v>
      </c>
      <c r="BL2" s="5" t="s">
        <v>39</v>
      </c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81" x14ac:dyDescent="0.25">
      <c r="BL3" s="5" t="s">
        <v>204</v>
      </c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x14ac:dyDescent="0.25">
      <c r="BL4" s="5" t="s">
        <v>96</v>
      </c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x14ac:dyDescent="0.25">
      <c r="BL5" s="5" t="s">
        <v>97</v>
      </c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10" spans="1:81" x14ac:dyDescent="0.25">
      <c r="C10" s="2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"/>
  <sheetViews>
    <sheetView zoomScale="75" zoomScaleNormal="75" workbookViewId="0">
      <selection activeCell="BQ16" sqref="BQ16"/>
    </sheetView>
  </sheetViews>
  <sheetFormatPr defaultRowHeight="15.75" x14ac:dyDescent="0.25"/>
  <cols>
    <col min="1" max="2" width="10.625" style="18" customWidth="1"/>
    <col min="3" max="3" width="22.75" style="20" customWidth="1"/>
    <col min="4" max="4" width="12.625" style="1" customWidth="1"/>
    <col min="5" max="5" width="12.625" style="22" customWidth="1"/>
    <col min="6" max="6" width="12.625" style="1" customWidth="1"/>
    <col min="7" max="7" width="12.625" style="22" customWidth="1"/>
    <col min="8" max="8" width="15.75" style="1" customWidth="1"/>
    <col min="9" max="9" width="13" style="22" customWidth="1"/>
    <col min="10" max="10" width="1.625" customWidth="1"/>
    <col min="11" max="57" width="0.75" customWidth="1"/>
    <col min="58" max="58" width="11.625" style="25" customWidth="1"/>
    <col min="59" max="59" width="16.25" style="12" customWidth="1"/>
    <col min="60" max="60" width="13.375" style="12" customWidth="1"/>
    <col min="61" max="61" width="11.625" style="10" customWidth="1"/>
    <col min="62" max="62" width="13.25" style="10" customWidth="1"/>
    <col min="63" max="63" width="0.75" style="7" customWidth="1"/>
    <col min="64" max="66" width="11.5" customWidth="1"/>
  </cols>
  <sheetData>
    <row r="1" spans="1:81" s="2" customFormat="1" ht="18" thickBot="1" x14ac:dyDescent="0.3">
      <c r="A1" s="17" t="s">
        <v>24</v>
      </c>
      <c r="B1" s="27" t="s">
        <v>11</v>
      </c>
      <c r="C1" s="19" t="s">
        <v>30</v>
      </c>
      <c r="D1" s="14" t="s">
        <v>28</v>
      </c>
      <c r="E1" s="21" t="s">
        <v>10</v>
      </c>
      <c r="F1" s="15" t="s">
        <v>29</v>
      </c>
      <c r="G1" s="23" t="s">
        <v>9</v>
      </c>
      <c r="H1" s="16" t="s">
        <v>32</v>
      </c>
      <c r="I1" s="24" t="s">
        <v>33</v>
      </c>
      <c r="J1" s="35" t="s">
        <v>41</v>
      </c>
      <c r="K1" s="36" t="s">
        <v>10</v>
      </c>
      <c r="L1" s="36" t="s">
        <v>9</v>
      </c>
      <c r="M1" s="37" t="s">
        <v>15</v>
      </c>
      <c r="N1" s="38" t="s">
        <v>98</v>
      </c>
      <c r="O1" s="38" t="s">
        <v>106</v>
      </c>
      <c r="P1" s="38" t="s">
        <v>107</v>
      </c>
      <c r="Q1" s="38" t="s">
        <v>108</v>
      </c>
      <c r="R1" s="38" t="s">
        <v>102</v>
      </c>
      <c r="S1" s="38" t="s">
        <v>109</v>
      </c>
      <c r="T1" s="38" t="s">
        <v>110</v>
      </c>
      <c r="U1" s="38" t="s">
        <v>111</v>
      </c>
      <c r="V1" s="38" t="s">
        <v>55</v>
      </c>
      <c r="W1" s="38" t="s">
        <v>57</v>
      </c>
      <c r="X1" s="38" t="s">
        <v>56</v>
      </c>
      <c r="Y1" s="38" t="s">
        <v>58</v>
      </c>
      <c r="Z1" s="38" t="s">
        <v>59</v>
      </c>
      <c r="AA1" s="38" t="s">
        <v>60</v>
      </c>
      <c r="AB1" s="38" t="s">
        <v>61</v>
      </c>
      <c r="AC1" s="38" t="s">
        <v>62</v>
      </c>
      <c r="AD1" s="38" t="s">
        <v>63</v>
      </c>
      <c r="AE1" s="38" t="s">
        <v>64</v>
      </c>
      <c r="AF1" s="38" t="s">
        <v>65</v>
      </c>
      <c r="AG1" s="38" t="s">
        <v>66</v>
      </c>
      <c r="AH1" s="38" t="s">
        <v>67</v>
      </c>
      <c r="AI1" s="38" t="s">
        <v>68</v>
      </c>
      <c r="AJ1" s="38" t="s">
        <v>69</v>
      </c>
      <c r="AK1" s="38" t="s">
        <v>70</v>
      </c>
      <c r="AL1" s="38" t="s">
        <v>71</v>
      </c>
      <c r="AM1" s="38" t="s">
        <v>72</v>
      </c>
      <c r="AN1" s="38" t="s">
        <v>73</v>
      </c>
      <c r="AO1" s="38" t="s">
        <v>74</v>
      </c>
      <c r="AP1" s="38" t="s">
        <v>75</v>
      </c>
      <c r="AQ1" s="38" t="s">
        <v>76</v>
      </c>
      <c r="AR1" s="38" t="s">
        <v>77</v>
      </c>
      <c r="AS1" s="38" t="s">
        <v>78</v>
      </c>
      <c r="AT1" s="38" t="s">
        <v>79</v>
      </c>
      <c r="AU1" s="38" t="s">
        <v>80</v>
      </c>
      <c r="AV1" s="38" t="s">
        <v>81</v>
      </c>
      <c r="AW1" s="38" t="s">
        <v>82</v>
      </c>
      <c r="AX1" s="38" t="s">
        <v>83</v>
      </c>
      <c r="AY1" s="38" t="s">
        <v>84</v>
      </c>
      <c r="AZ1" s="38" t="s">
        <v>85</v>
      </c>
      <c r="BA1" s="38" t="s">
        <v>86</v>
      </c>
      <c r="BB1" s="37" t="s">
        <v>7</v>
      </c>
      <c r="BC1" s="37" t="s">
        <v>40</v>
      </c>
      <c r="BD1" s="37" t="s">
        <v>8</v>
      </c>
      <c r="BE1" s="37" t="s">
        <v>27</v>
      </c>
      <c r="BF1" s="34" t="s">
        <v>37</v>
      </c>
      <c r="BG1" s="39" t="s">
        <v>88</v>
      </c>
      <c r="BH1" s="39" t="s">
        <v>87</v>
      </c>
      <c r="BI1" s="37" t="s">
        <v>12</v>
      </c>
      <c r="BJ1" s="40" t="s">
        <v>26</v>
      </c>
      <c r="BK1" s="3"/>
      <c r="BL1" s="8" t="s">
        <v>31</v>
      </c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16.5" thickBot="1" x14ac:dyDescent="0.3">
      <c r="C2" s="18"/>
      <c r="I2" s="44"/>
      <c r="J2" s="41">
        <f>IF(H2&gt;0,H2*10,I2)</f>
        <v>0</v>
      </c>
      <c r="K2" s="42">
        <f>IF(D2&gt;0,D2*2.54,E2)</f>
        <v>0</v>
      </c>
      <c r="L2" s="42">
        <f>IF(F2&gt;0,F2*0.453592,G2)</f>
        <v>0</v>
      </c>
      <c r="M2" s="42">
        <f>IF(C2="M",1,IF(C2="Male",1,0))</f>
        <v>0</v>
      </c>
      <c r="N2" s="42">
        <f>IF(AND(B2&lt;45,M2=0),3.6*BF2+14.5,0)</f>
        <v>14.5</v>
      </c>
      <c r="O2" s="42">
        <f>IF(AND(B2&gt;=45,B2&lt;55,M2=0),4.9*BF2+13.5,0)</f>
        <v>0</v>
      </c>
      <c r="P2" s="42">
        <f>IF(AND(B2&gt;=55,B2&lt;65,M2=0),4.8*BF2+14.7,0)</f>
        <v>0</v>
      </c>
      <c r="Q2" s="42">
        <f>IF(AND(B2&gt;=65,M2=0),3.7*BF2+17.8,0)</f>
        <v>0</v>
      </c>
      <c r="R2" s="42">
        <f>IF(AND(B2&lt;45,M2=1),4.4*BF2+14.5,0)</f>
        <v>0</v>
      </c>
      <c r="S2" s="42">
        <f>IF(AND(B2&gt;=45,B2&lt;55,M2=1),5.2*BF2+14.1,0)</f>
        <v>0</v>
      </c>
      <c r="T2" s="42">
        <f>IF(AND(B2&gt;=55,B2&lt;65,M2=1),5.8*BF2+14.3,0)</f>
        <v>0</v>
      </c>
      <c r="U2" s="42">
        <f>IF(AND(B2&gt;=65,M2=1),3.9*BF2+19.5,0)</f>
        <v>0</v>
      </c>
      <c r="V2" s="42">
        <f>IF(AND($M2=0,$B2&lt;45,$BF2&lt;1.7),1.4,0)</f>
        <v>1.4</v>
      </c>
      <c r="W2" s="42">
        <f>IF(AND($M2=0,$B2&lt;45,$BF2&gt;=1.7,$BF2&lt;1.9),1.6,0)</f>
        <v>0</v>
      </c>
      <c r="X2" s="42">
        <f>IF(AND($M2=0,$B2&lt;45,$BF2&gt;=1.9,$BF2&lt;2.1),1.2,0)</f>
        <v>0</v>
      </c>
      <c r="Y2" s="42">
        <f>IF(AND($M2=0,$B2&lt;45,$BF2&gt;=2.1),2.2,0)</f>
        <v>0</v>
      </c>
      <c r="Z2" s="42">
        <f>IF(AND($M2=0,$B2&gt;=45,$B2&lt;55,$BF2&lt;1.7),1.6,0)</f>
        <v>0</v>
      </c>
      <c r="AA2" s="42">
        <f>IF(AND($M2=0,$B2&gt;=45,$B2&lt;55,$BF2&gt;=1.7,$BF2&lt;1.9),1.6,0)</f>
        <v>0</v>
      </c>
      <c r="AB2" s="42">
        <f>IF(AND($M2=0,$B2&gt;=45,$B2&lt;55,$BF2&gt;=1.9,$BF2&lt;2.1),1.8,0)</f>
        <v>0</v>
      </c>
      <c r="AC2" s="42">
        <f>IF(AND($M2=0,$B2&gt;=45,$B2&lt;55,$BF2&gt;=2.1),2.2,0)</f>
        <v>0</v>
      </c>
      <c r="AD2" s="42">
        <f>IF(AND($M2=0,$B2&gt;=55,$B2&lt;65,$BF2&lt;1.7),1.8,0)</f>
        <v>0</v>
      </c>
      <c r="AE2" s="42">
        <f>IF(AND($M2=0,$B2&gt;=55,$B2&lt;65,$BF2&gt;=1.7,$BF2&lt;1.9),1.9,0)</f>
        <v>0</v>
      </c>
      <c r="AF2" s="42">
        <f>IF(AND($M2=0,$B2&gt;=55,$B2&lt;65,$BF2&gt;=1.9,$BF2&lt;2.1),1.9,0)</f>
        <v>0</v>
      </c>
      <c r="AG2" s="42">
        <f>IF(AND($M2=0,$B2&gt;=55,$B2&lt;65,$BF2&gt;=2.1),3.1,0)</f>
        <v>0</v>
      </c>
      <c r="AH2" s="42">
        <f>IF(AND($M2=0,$B2&gt;=65,$BF2&lt;1.7),1.8,0)</f>
        <v>0</v>
      </c>
      <c r="AI2" s="42">
        <f>IF(AND($M2=0,$B2&gt;=65,$BF2&gt;=1.7,$BF2&lt;1.9),1.4,0)</f>
        <v>0</v>
      </c>
      <c r="AJ2" s="42">
        <f>IF(AND($M2=0,$B2&gt;=65,$BF2&gt;=1.9,$BF2&lt;2.1),1.9,0)</f>
        <v>0</v>
      </c>
      <c r="AK2" s="42">
        <f>IF(AND($M2=0,$B2&gt;=65,$BF2&gt;=2.1),1.9,0)</f>
        <v>0</v>
      </c>
      <c r="AL2" s="42">
        <f>IF(AND($M2=1,$B2&lt;45,$BF2&lt;1.7),2.5,0)</f>
        <v>0</v>
      </c>
      <c r="AM2" s="42">
        <f>IF(AND($M2=1,$B2&lt;45,$BF2&gt;=1.7,$BF2&lt;1.9),2,0)</f>
        <v>0</v>
      </c>
      <c r="AN2" s="42">
        <f>IF(AND($M2=1,$B2&lt;45,$BF2&gt;=1.9,$BF2&lt;2.1),1.7,0)</f>
        <v>0</v>
      </c>
      <c r="AO2" s="42">
        <f>IF(AND($M2=1,$B2&lt;45,$BF2&gt;=2.1),2,0)</f>
        <v>0</v>
      </c>
      <c r="AP2" s="42">
        <f>IF(AND($M2=1,$B2&gt;=45,$B2&lt;55,$BF2&lt;1.7),1.1,0)</f>
        <v>0</v>
      </c>
      <c r="AQ2" s="42">
        <f>IF(AND($M2=1,$B2&gt;=45,$B2&lt;55,$BF2&gt;=1.7,$BF2&lt;1.9),2,0)</f>
        <v>0</v>
      </c>
      <c r="AR2" s="42">
        <f>IF(AND($M2=1,$B2&gt;=45,$B2&lt;55,$BF2&gt;=1.9,$BF2&lt;2.1),2.2,0)</f>
        <v>0</v>
      </c>
      <c r="AS2" s="42">
        <f>IF(AND($M2=1,$B2&gt;=45,$B2&lt;55,$BF2&gt;=2.1),1.9,0)</f>
        <v>0</v>
      </c>
      <c r="AT2" s="42">
        <f>IF(AND($M2=1,$B2&gt;=55,$B2&lt;65,$BF2&lt;1.7),1.5,0)</f>
        <v>0</v>
      </c>
      <c r="AU2" s="42">
        <f>IF(AND($M2=1,$B2&gt;=55,$B2&lt;65,$BF2&gt;=1.7,$BF2&lt;1.9),1.7,0)</f>
        <v>0</v>
      </c>
      <c r="AV2" s="42">
        <f>IF(AND($M2=1,$B2&gt;=55,$B2&lt;65,$BF2&gt;=1.9,$BF2&lt;2.1),2,0)</f>
        <v>0</v>
      </c>
      <c r="AW2" s="42">
        <f>IF(AND($M2=1,$B2&gt;=55,$B2&lt;65,$BF2&gt;=2.1),2.2,0)</f>
        <v>0</v>
      </c>
      <c r="AX2" s="42">
        <f>IF(AND($M2=1,$B2&gt;=65,$BF2&lt;1.7),2.5,0)</f>
        <v>0</v>
      </c>
      <c r="AY2" s="42">
        <f>IF(AND($M2=1,$B2&gt;=65,$BF2&gt;=1.7,$BF2&lt;1.9),2.8,0)</f>
        <v>0</v>
      </c>
      <c r="AZ2" s="42">
        <f>IF(AND($M2=1,$B2&gt;=65,$BF2&gt;=1.9,$BF2&lt;2.1),2,0)</f>
        <v>0</v>
      </c>
      <c r="BA2" s="42">
        <f>IF(AND($M2=1,$B2&gt;=65,$BF2&gt;=2.1),2,0)</f>
        <v>0</v>
      </c>
      <c r="BB2" s="42">
        <f>MAX(V2:BA2)</f>
        <v>1.4</v>
      </c>
      <c r="BC2" s="42">
        <f>IF(AND($J2&gt;=$BG2+$BB2*2,$J2&lt;$BG2*1.5),1,0)</f>
        <v>0</v>
      </c>
      <c r="BD2" s="42">
        <f>IF($J2&gt;=1.5*$BG2,1,0)</f>
        <v>0</v>
      </c>
      <c r="BE2" s="42">
        <f>IF($J2&lt;=$BG2-$BB2*2,1,0)</f>
        <v>1</v>
      </c>
      <c r="BF2" s="43">
        <f>(K2^0.725)*(L2^0.425)*0.007184</f>
        <v>0</v>
      </c>
      <c r="BG2" s="11">
        <f>MAX(N2:U2)</f>
        <v>14.5</v>
      </c>
      <c r="BH2" s="11">
        <f>J2/BG2</f>
        <v>0</v>
      </c>
      <c r="BI2" s="9">
        <f>(J2-BG2)/BB2</f>
        <v>-10.357142857142858</v>
      </c>
      <c r="BJ2" s="33" t="str">
        <f>IF($BC2=1,"Ectasia",IF($BD2=1,"Aneurysm",IF($BE2=1,"Hypoplastic","Normal")))</f>
        <v>Hypoplastic</v>
      </c>
      <c r="BK2" s="6"/>
      <c r="BL2" s="5" t="s">
        <v>39</v>
      </c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81" x14ac:dyDescent="0.25">
      <c r="BL3" s="5" t="s">
        <v>204</v>
      </c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x14ac:dyDescent="0.25">
      <c r="BL4" s="5" t="s">
        <v>96</v>
      </c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x14ac:dyDescent="0.25">
      <c r="BL5" s="5" t="s">
        <v>97</v>
      </c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x14ac:dyDescent="0.25"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17" spans="70:70" x14ac:dyDescent="0.25">
      <c r="BR17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 Notes</vt:lpstr>
      <vt:lpstr>Ascending for Individuals</vt:lpstr>
      <vt:lpstr>Descending for Individuals</vt:lpstr>
      <vt:lpstr>Ascending for Databases</vt:lpstr>
      <vt:lpstr>Descending for Databases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Tellides</dc:creator>
  <cp:lastModifiedBy>Tellides, George</cp:lastModifiedBy>
  <dcterms:created xsi:type="dcterms:W3CDTF">2018-07-23T16:51:57Z</dcterms:created>
  <dcterms:modified xsi:type="dcterms:W3CDTF">2019-10-20T19:25:57Z</dcterms:modified>
</cp:coreProperties>
</file>