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690t\Tim Gomer\FY 2024\Shared Services\Template\"/>
    </mc:Choice>
  </mc:AlternateContent>
  <xr:revisionPtr revIDLastSave="0" documentId="13_ncr:1_{6169FB7A-475E-468A-9EE1-6A24E2DE5CEC}" xr6:coauthVersionLast="47" xr6:coauthVersionMax="47" xr10:uidLastSave="{00000000-0000-0000-0000-000000000000}"/>
  <bookViews>
    <workbookView xWindow="28680" yWindow="-120" windowWidth="25440" windowHeight="15390" firstSheet="1" activeTab="2" xr2:uid="{00000000-000D-0000-FFFF-FFFF00000000}"/>
  </bookViews>
  <sheets>
    <sheet name="Cover Sheet" sheetId="33" r:id="rId1"/>
    <sheet name="RFP Summary" sheetId="27" r:id="rId2"/>
    <sheet name="YSM-YM Clinical Plan" sheetId="5" r:id="rId3"/>
    <sheet name="AF Summary Template" sheetId="28" r:id="rId4"/>
    <sheet name="Salary Build Sheet (Clinical)" sheetId="12" r:id="rId5"/>
    <sheet name="Non-Salary Build (Clinical)" sheetId="16" r:id="rId6"/>
    <sheet name="Research Plan" sheetId="29" r:id="rId7"/>
    <sheet name="OTC Calculation FY22 - OPTIONAL" sheetId="30" r:id="rId8"/>
    <sheet name="OTC Calculation FY22 EXAMPLE" sheetId="31" r:id="rId9"/>
    <sheet name="Assumptions" sheetId="14" r:id="rId10"/>
    <sheet name="Contractual Calculator" sheetId="20" r:id="rId11"/>
    <sheet name="I&amp;A Calculator" sheetId="17" r:id="rId12"/>
    <sheet name="Definitions " sheetId="11" r:id="rId13"/>
    <sheet name="Version Notes" sheetId="15" r:id="rId14"/>
    <sheet name="Research Depository" sheetId="24" state="hidden" r:id="rId15"/>
    <sheet name="Depository for MD" sheetId="19" state="hidden" r:id="rId16"/>
    <sheet name="Depository1" sheetId="6" state="hidden" r:id="rId17"/>
  </sheets>
  <externalReferences>
    <externalReference r:id="rId18"/>
  </externalReferences>
  <definedNames>
    <definedName name="_xlnm._FilterDatabase" localSheetId="2" hidden="1">'YSM-YM Clinical Plan'!$A$8:$E$10</definedName>
    <definedName name="_Order1" hidden="1">255</definedName>
    <definedName name="caplist" localSheetId="3">'[1]Research Depository'!$E$3:$E$6</definedName>
    <definedName name="caps" localSheetId="3">[1]Assumptions!$C$19:$D$20</definedName>
    <definedName name="clinical">'Depository for MD'!$L$2:$L$3</definedName>
    <definedName name="departments" localSheetId="3">[1]Depository1!$H$5:$H$31</definedName>
    <definedName name="FYstart" localSheetId="3">[1]Depository1!$B$32:$B$41</definedName>
    <definedName name="FYstart">Depository1!$B$32:$B$41</definedName>
    <definedName name="indirectrates" localSheetId="3">[1]Assumptions!$C$25:$D$36</definedName>
    <definedName name="medical" localSheetId="3">'[1]Depository for MD'!$L$2:$L$3</definedName>
    <definedName name="name">'Depository for MD'!$B$3:$B$9</definedName>
    <definedName name="names" localSheetId="3">[1]Depository1!$M$25:$M$34</definedName>
    <definedName name="names">'Depository for MD'!$B$3:$B$8</definedName>
    <definedName name="onions" localSheetId="3">'[1]Research Depository'!$G$3:$G$7</definedName>
    <definedName name="_xlnm.Print_Area" localSheetId="3">'AF Summary Template'!$B$1:$I$29</definedName>
    <definedName name="_xlnm.Print_Area" localSheetId="0">'Cover Sheet'!$A$1:$K$33</definedName>
    <definedName name="_xlnm.Print_Area" localSheetId="5">'Non-Salary Build (Clinical)'!$B$2:$H$40</definedName>
    <definedName name="_xlnm.Print_Area" localSheetId="6">'Research Plan'!$A$1:$AA$38</definedName>
    <definedName name="_xlnm.Print_Area" localSheetId="1">'RFP Summary'!$A$1:$H$49</definedName>
    <definedName name="_xlnm.Print_Area" localSheetId="4">'Salary Build Sheet (Clinical)'!$B$1:$AV$48</definedName>
    <definedName name="_xlnm.Print_Area" localSheetId="2">'YSM-YM Clinical Plan'!$A$1:$I$85</definedName>
    <definedName name="rampone" localSheetId="3">[1]Depository1!$B$17:$B$29</definedName>
    <definedName name="rampthree" localSheetId="3">[1]Depository1!$D$17:$D$29</definedName>
    <definedName name="ramptwo" localSheetId="3">[1]Depository1!$C$17:$C$29</definedName>
    <definedName name="researchcat2" localSheetId="3">'[1]Research Depository'!$C$3:$C$18</definedName>
    <definedName name="volumes" localSheetId="3">[1]Depository1!$P$5:$P$12</definedName>
    <definedName name="volumes">Depository1!$P$5:$P$11</definedName>
    <definedName name="yesyes" localSheetId="3">[1]Depository1!$M$50:$M$52</definedName>
    <definedName name="yesyes">Depository1!$M$50:$M$51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8" l="1"/>
  <c r="D6" i="28" s="1"/>
  <c r="E6" i="28" s="1"/>
  <c r="I10" i="12"/>
  <c r="C11" i="33"/>
  <c r="C10" i="33"/>
  <c r="C9" i="33"/>
  <c r="C7" i="33"/>
  <c r="E37" i="5"/>
  <c r="D37" i="5"/>
  <c r="C37" i="5"/>
  <c r="AA34" i="29" l="1"/>
  <c r="AA29" i="29"/>
  <c r="AA27" i="29"/>
  <c r="AA26" i="29"/>
  <c r="AA25" i="29"/>
  <c r="AA19" i="29"/>
  <c r="AA18" i="29"/>
  <c r="AA15" i="29"/>
  <c r="AA14" i="29"/>
  <c r="AA13" i="29"/>
  <c r="AA12" i="29"/>
  <c r="AA11" i="29"/>
  <c r="AA10" i="29"/>
  <c r="AA9" i="29"/>
  <c r="AA8" i="29"/>
  <c r="AA7" i="29"/>
  <c r="AA6" i="29"/>
  <c r="F86" i="5"/>
  <c r="C36" i="5"/>
  <c r="E36" i="5"/>
  <c r="D36" i="5"/>
  <c r="C39" i="5"/>
  <c r="C38" i="5"/>
  <c r="B4" i="28" l="1"/>
  <c r="W42" i="12"/>
  <c r="F45" i="12"/>
  <c r="AL40" i="12"/>
  <c r="AJ40" i="12"/>
  <c r="AI40" i="12"/>
  <c r="AH40" i="12"/>
  <c r="X40" i="12"/>
  <c r="V40" i="12"/>
  <c r="U40" i="12"/>
  <c r="T40" i="12"/>
  <c r="J40" i="12"/>
  <c r="H40" i="12"/>
  <c r="G40" i="12"/>
  <c r="F40" i="12"/>
  <c r="AL45" i="12"/>
  <c r="AJ45" i="12"/>
  <c r="AI45" i="12"/>
  <c r="AI47" i="12" s="1"/>
  <c r="AI48" i="12" s="1"/>
  <c r="AH45" i="12"/>
  <c r="AH47" i="12" s="1"/>
  <c r="X45" i="12"/>
  <c r="V45" i="12"/>
  <c r="U45" i="12"/>
  <c r="U47" i="12" s="1"/>
  <c r="U48" i="12" s="1"/>
  <c r="T45" i="12"/>
  <c r="J45" i="12"/>
  <c r="H45" i="12"/>
  <c r="G45" i="12"/>
  <c r="AH17" i="12"/>
  <c r="AH25" i="12" s="1"/>
  <c r="AH24" i="12"/>
  <c r="AH33" i="12"/>
  <c r="AT44" i="12"/>
  <c r="AR44" i="12"/>
  <c r="AP44" i="12"/>
  <c r="AN44" i="12"/>
  <c r="AT43" i="12"/>
  <c r="AR43" i="12"/>
  <c r="AP43" i="12"/>
  <c r="AN43" i="12"/>
  <c r="AT42" i="12"/>
  <c r="AR42" i="12"/>
  <c r="AP42" i="12"/>
  <c r="AN42" i="12"/>
  <c r="AT39" i="12"/>
  <c r="AR39" i="12"/>
  <c r="AP39" i="12"/>
  <c r="AN39" i="12"/>
  <c r="AT38" i="12"/>
  <c r="AR38" i="12"/>
  <c r="AP38" i="12"/>
  <c r="AN38" i="12"/>
  <c r="AT37" i="12"/>
  <c r="AR37" i="12"/>
  <c r="AP37" i="12"/>
  <c r="AN37" i="12"/>
  <c r="AT36" i="12"/>
  <c r="AR36" i="12"/>
  <c r="AP36" i="12"/>
  <c r="AN36" i="12"/>
  <c r="AT35" i="12"/>
  <c r="AR35" i="12"/>
  <c r="AP35" i="12"/>
  <c r="AN35" i="12"/>
  <c r="AR32" i="12"/>
  <c r="AN32" i="12"/>
  <c r="AR31" i="12"/>
  <c r="AN31" i="12"/>
  <c r="AR30" i="12"/>
  <c r="AN30" i="12"/>
  <c r="AR29" i="12"/>
  <c r="AN29" i="12"/>
  <c r="AR28" i="12"/>
  <c r="AN28" i="12"/>
  <c r="AR27" i="12"/>
  <c r="AN27" i="12"/>
  <c r="AN19" i="12"/>
  <c r="AP19" i="12"/>
  <c r="AN20" i="12"/>
  <c r="AP20" i="12"/>
  <c r="AN21" i="12"/>
  <c r="AP21" i="12"/>
  <c r="AN22" i="12"/>
  <c r="AP22" i="12"/>
  <c r="AN23" i="12"/>
  <c r="AP23" i="12"/>
  <c r="AN11" i="12"/>
  <c r="AR11" i="12"/>
  <c r="AN12" i="12"/>
  <c r="AR12" i="12"/>
  <c r="AN13" i="12"/>
  <c r="AR13" i="12"/>
  <c r="AN14" i="12"/>
  <c r="AR14" i="12"/>
  <c r="AN15" i="12"/>
  <c r="AR15" i="12"/>
  <c r="AN16" i="12"/>
  <c r="AR16" i="12"/>
  <c r="AR10" i="12"/>
  <c r="AN10" i="12"/>
  <c r="AN46" i="12"/>
  <c r="AU24" i="12"/>
  <c r="AT24" i="12"/>
  <c r="AS24" i="12"/>
  <c r="AR24" i="12"/>
  <c r="Z46" i="12"/>
  <c r="AF44" i="12"/>
  <c r="AD44" i="12"/>
  <c r="AB44" i="12"/>
  <c r="Z44" i="12"/>
  <c r="AF43" i="12"/>
  <c r="AD43" i="12"/>
  <c r="AB43" i="12"/>
  <c r="AB45" i="12" s="1"/>
  <c r="Z43" i="12"/>
  <c r="AF42" i="12"/>
  <c r="AD42" i="12"/>
  <c r="AB42" i="12"/>
  <c r="Z42" i="12"/>
  <c r="AF39" i="12"/>
  <c r="AD39" i="12"/>
  <c r="AB39" i="12"/>
  <c r="Z39" i="12"/>
  <c r="AF38" i="12"/>
  <c r="AD38" i="12"/>
  <c r="AB38" i="12"/>
  <c r="Z38" i="12"/>
  <c r="AF37" i="12"/>
  <c r="AD37" i="12"/>
  <c r="AB37" i="12"/>
  <c r="Z37" i="12"/>
  <c r="AF36" i="12"/>
  <c r="AD36" i="12"/>
  <c r="AB36" i="12"/>
  <c r="Z36" i="12"/>
  <c r="AF35" i="12"/>
  <c r="AD35" i="12"/>
  <c r="AD40" i="12" s="1"/>
  <c r="AB35" i="12"/>
  <c r="Z35" i="12"/>
  <c r="AD32" i="12"/>
  <c r="Z32" i="12"/>
  <c r="AD31" i="12"/>
  <c r="Z31" i="12"/>
  <c r="AD30" i="12"/>
  <c r="Z30" i="12"/>
  <c r="AD29" i="12"/>
  <c r="Z29" i="12"/>
  <c r="AD28" i="12"/>
  <c r="Z28" i="12"/>
  <c r="AD27" i="12"/>
  <c r="Z27" i="12"/>
  <c r="AG24" i="12"/>
  <c r="AF24" i="12"/>
  <c r="AE24" i="12"/>
  <c r="AD24" i="12"/>
  <c r="AB23" i="12"/>
  <c r="Z23" i="12"/>
  <c r="AB22" i="12"/>
  <c r="Z22" i="12"/>
  <c r="AB21" i="12"/>
  <c r="Z21" i="12"/>
  <c r="AB20" i="12"/>
  <c r="Z20" i="12"/>
  <c r="AB19" i="12"/>
  <c r="Z19" i="12"/>
  <c r="AD16" i="12"/>
  <c r="Z16" i="12"/>
  <c r="AD15" i="12"/>
  <c r="Z15" i="12"/>
  <c r="AD14" i="12"/>
  <c r="Z14" i="12"/>
  <c r="AD13" i="12"/>
  <c r="Z13" i="12"/>
  <c r="AD12" i="12"/>
  <c r="Z12" i="12"/>
  <c r="AD11" i="12"/>
  <c r="Z11" i="12"/>
  <c r="AD10" i="12"/>
  <c r="Z10" i="12"/>
  <c r="P35" i="12"/>
  <c r="L46" i="12"/>
  <c r="S24" i="12"/>
  <c r="R24" i="12"/>
  <c r="Q24" i="12"/>
  <c r="P24" i="12"/>
  <c r="AF40" i="12" l="1"/>
  <c r="AN40" i="12"/>
  <c r="E54" i="5" s="1"/>
  <c r="AP40" i="12"/>
  <c r="AP45" i="12"/>
  <c r="AF45" i="12"/>
  <c r="AB40" i="12"/>
  <c r="AH48" i="12"/>
  <c r="AR40" i="12"/>
  <c r="AN45" i="12"/>
  <c r="E55" i="5" s="1"/>
  <c r="AT40" i="12"/>
  <c r="AR45" i="12"/>
  <c r="AT45" i="12"/>
  <c r="Z40" i="12"/>
  <c r="D54" i="5" s="1"/>
  <c r="AD45" i="12"/>
  <c r="Z45" i="12"/>
  <c r="D55" i="5" s="1"/>
  <c r="AP24" i="12"/>
  <c r="Z24" i="12"/>
  <c r="D52" i="5" s="1"/>
  <c r="AB24" i="12"/>
  <c r="Z33" i="12"/>
  <c r="D53" i="5" s="1"/>
  <c r="AN33" i="12"/>
  <c r="AR33" i="12"/>
  <c r="AN17" i="12"/>
  <c r="E51" i="5" s="1"/>
  <c r="AR17" i="12"/>
  <c r="AR25" i="12" s="1"/>
  <c r="AN24" i="12"/>
  <c r="AD17" i="12"/>
  <c r="AD25" i="12" s="1"/>
  <c r="Z17" i="12"/>
  <c r="D51" i="5" s="1"/>
  <c r="AD33" i="12"/>
  <c r="AD47" i="12" s="1"/>
  <c r="AR47" i="12" l="1"/>
  <c r="AR48" i="12" s="1"/>
  <c r="D17" i="28"/>
  <c r="E53" i="5"/>
  <c r="AN47" i="12"/>
  <c r="Z47" i="12"/>
  <c r="AD48" i="12"/>
  <c r="AN25" i="12"/>
  <c r="Z25" i="12"/>
  <c r="E17" i="28" l="1"/>
  <c r="D31" i="27"/>
  <c r="AN48" i="12"/>
  <c r="Z48" i="12"/>
  <c r="L20" i="12" l="1"/>
  <c r="N20" i="12"/>
  <c r="L21" i="12"/>
  <c r="N21" i="12"/>
  <c r="L22" i="12"/>
  <c r="N22" i="12"/>
  <c r="L23" i="12"/>
  <c r="N23" i="12"/>
  <c r="N19" i="12"/>
  <c r="L19" i="12"/>
  <c r="R44" i="12"/>
  <c r="P44" i="12"/>
  <c r="N44" i="12"/>
  <c r="L44" i="12"/>
  <c r="R43" i="12"/>
  <c r="P43" i="12"/>
  <c r="N43" i="12"/>
  <c r="L43" i="12"/>
  <c r="R42" i="12"/>
  <c r="P42" i="12"/>
  <c r="N42" i="12"/>
  <c r="L42" i="12"/>
  <c r="R39" i="12"/>
  <c r="P39" i="12"/>
  <c r="N39" i="12"/>
  <c r="L39" i="12"/>
  <c r="R38" i="12"/>
  <c r="P38" i="12"/>
  <c r="N38" i="12"/>
  <c r="L38" i="12"/>
  <c r="R37" i="12"/>
  <c r="P37" i="12"/>
  <c r="N37" i="12"/>
  <c r="L37" i="12"/>
  <c r="R36" i="12"/>
  <c r="P36" i="12"/>
  <c r="P40" i="12" s="1"/>
  <c r="N36" i="12"/>
  <c r="L36" i="12"/>
  <c r="R35" i="12"/>
  <c r="N35" i="12"/>
  <c r="L35" i="12"/>
  <c r="L40" i="12" s="1"/>
  <c r="C54" i="5" s="1"/>
  <c r="F33" i="12"/>
  <c r="F47" i="12" s="1"/>
  <c r="F48" i="12" s="1"/>
  <c r="P32" i="12"/>
  <c r="L32" i="12"/>
  <c r="P31" i="12"/>
  <c r="L31" i="12"/>
  <c r="P30" i="12"/>
  <c r="L30" i="12"/>
  <c r="P29" i="12"/>
  <c r="L29" i="12"/>
  <c r="P28" i="12"/>
  <c r="L28" i="12"/>
  <c r="P27" i="12"/>
  <c r="L27" i="12"/>
  <c r="R45" i="12" l="1"/>
  <c r="N40" i="12"/>
  <c r="L45" i="12"/>
  <c r="C55" i="5" s="1"/>
  <c r="G55" i="5" s="1"/>
  <c r="N45" i="12"/>
  <c r="P45" i="12"/>
  <c r="R40" i="12"/>
  <c r="P33" i="12"/>
  <c r="L24" i="12"/>
  <c r="C52" i="5" s="1"/>
  <c r="N24" i="12"/>
  <c r="L33" i="12"/>
  <c r="P47" i="12" l="1"/>
  <c r="C53" i="5"/>
  <c r="L47" i="12"/>
  <c r="L11" i="12"/>
  <c r="P11" i="12"/>
  <c r="L12" i="12"/>
  <c r="P12" i="12"/>
  <c r="L13" i="12"/>
  <c r="P13" i="12"/>
  <c r="L14" i="12"/>
  <c r="P14" i="12"/>
  <c r="L15" i="12"/>
  <c r="P15" i="12"/>
  <c r="L16" i="12"/>
  <c r="P16" i="12"/>
  <c r="P10" i="12"/>
  <c r="C17" i="28" l="1"/>
  <c r="P17" i="12"/>
  <c r="P25" i="12" s="1"/>
  <c r="P48" i="12" s="1"/>
  <c r="L10" i="12" l="1"/>
  <c r="AK46" i="12"/>
  <c r="AO46" i="12" s="1"/>
  <c r="AQ46" i="12" s="1"/>
  <c r="W46" i="12"/>
  <c r="AA46" i="12" s="1"/>
  <c r="AC46" i="12" s="1"/>
  <c r="I46" i="12"/>
  <c r="A12" i="29"/>
  <c r="A8" i="29"/>
  <c r="J2" i="31"/>
  <c r="J2" i="30"/>
  <c r="J3" i="31"/>
  <c r="J3" i="30"/>
  <c r="X20" i="29"/>
  <c r="V20" i="29"/>
  <c r="U20" i="29"/>
  <c r="T20" i="29"/>
  <c r="P20" i="29"/>
  <c r="N20" i="29"/>
  <c r="M20" i="29"/>
  <c r="L20" i="29"/>
  <c r="H20" i="29"/>
  <c r="H21" i="29" s="1"/>
  <c r="F20" i="29"/>
  <c r="E20" i="29"/>
  <c r="D20" i="29"/>
  <c r="W20" i="29"/>
  <c r="O20" i="29"/>
  <c r="G20" i="29"/>
  <c r="S20" i="29"/>
  <c r="K20" i="29"/>
  <c r="C20" i="29"/>
  <c r="D22" i="27"/>
  <c r="D21" i="27"/>
  <c r="D20" i="27"/>
  <c r="I10" i="29"/>
  <c r="C46" i="27"/>
  <c r="D46" i="27"/>
  <c r="C15" i="29"/>
  <c r="D9" i="27"/>
  <c r="C9" i="27"/>
  <c r="B9" i="27"/>
  <c r="D8" i="27"/>
  <c r="C8" i="27"/>
  <c r="B8" i="27"/>
  <c r="D7" i="27"/>
  <c r="C7" i="27"/>
  <c r="B7" i="27"/>
  <c r="C6" i="27"/>
  <c r="D6" i="27"/>
  <c r="B6" i="27"/>
  <c r="D19" i="27"/>
  <c r="C19" i="27"/>
  <c r="B19" i="27"/>
  <c r="M46" i="12" l="1"/>
  <c r="O46" i="12" s="1"/>
  <c r="L17" i="12"/>
  <c r="C51" i="5" s="1"/>
  <c r="Q25" i="29"/>
  <c r="I25" i="29"/>
  <c r="G17" i="31"/>
  <c r="F17" i="31"/>
  <c r="C16" i="31"/>
  <c r="G15" i="31"/>
  <c r="F14" i="31"/>
  <c r="G13" i="31"/>
  <c r="G12" i="31"/>
  <c r="F11" i="31"/>
  <c r="G10" i="31"/>
  <c r="G9" i="31"/>
  <c r="F8" i="31"/>
  <c r="G7" i="31"/>
  <c r="B7" i="31"/>
  <c r="H6" i="31"/>
  <c r="F6" i="31"/>
  <c r="M6" i="31" s="1"/>
  <c r="E6" i="31"/>
  <c r="G17" i="30"/>
  <c r="F17" i="30"/>
  <c r="C16" i="30"/>
  <c r="G15" i="30"/>
  <c r="G14" i="30"/>
  <c r="G13" i="30"/>
  <c r="G12" i="30"/>
  <c r="G11" i="30"/>
  <c r="G10" i="30"/>
  <c r="G9" i="30"/>
  <c r="G8" i="30"/>
  <c r="G7" i="30"/>
  <c r="B7" i="30"/>
  <c r="H7" i="30" s="1"/>
  <c r="O7" i="30" s="1"/>
  <c r="H6" i="30"/>
  <c r="O6" i="30" s="1"/>
  <c r="G6" i="30"/>
  <c r="N6" i="30" s="1"/>
  <c r="E6" i="30"/>
  <c r="X34" i="29"/>
  <c r="W34" i="29"/>
  <c r="V34" i="29"/>
  <c r="U34" i="29"/>
  <c r="T34" i="29"/>
  <c r="S34" i="29"/>
  <c r="P34" i="29"/>
  <c r="O34" i="29"/>
  <c r="N34" i="29"/>
  <c r="M34" i="29"/>
  <c r="L34" i="29"/>
  <c r="K34" i="29"/>
  <c r="H34" i="29"/>
  <c r="G34" i="29"/>
  <c r="F34" i="29"/>
  <c r="E34" i="29"/>
  <c r="D34" i="29"/>
  <c r="C34" i="29"/>
  <c r="X32" i="29"/>
  <c r="V32" i="29"/>
  <c r="U32" i="29"/>
  <c r="T32" i="29"/>
  <c r="P32" i="29"/>
  <c r="N32" i="29"/>
  <c r="M32" i="29"/>
  <c r="L32" i="29"/>
  <c r="H32" i="29"/>
  <c r="F32" i="29"/>
  <c r="E32" i="29"/>
  <c r="D32" i="29"/>
  <c r="X30" i="29"/>
  <c r="W30" i="29"/>
  <c r="V30" i="29"/>
  <c r="U30" i="29"/>
  <c r="T30" i="29"/>
  <c r="S30" i="29"/>
  <c r="P30" i="29"/>
  <c r="O30" i="29"/>
  <c r="N30" i="29"/>
  <c r="M30" i="29"/>
  <c r="L30" i="29"/>
  <c r="K30" i="29"/>
  <c r="H30" i="29"/>
  <c r="G30" i="29"/>
  <c r="F30" i="29"/>
  <c r="E30" i="29"/>
  <c r="D30" i="29"/>
  <c r="C30" i="29"/>
  <c r="A30" i="29"/>
  <c r="X29" i="29"/>
  <c r="W29" i="29"/>
  <c r="V29" i="29"/>
  <c r="U29" i="29"/>
  <c r="T29" i="29"/>
  <c r="S29" i="29"/>
  <c r="P29" i="29"/>
  <c r="O29" i="29"/>
  <c r="N29" i="29"/>
  <c r="M29" i="29"/>
  <c r="L29" i="29"/>
  <c r="K29" i="29"/>
  <c r="H29" i="29"/>
  <c r="G29" i="29"/>
  <c r="F29" i="29"/>
  <c r="E29" i="29"/>
  <c r="D29" i="29"/>
  <c r="C29" i="29"/>
  <c r="A29" i="29"/>
  <c r="X28" i="29"/>
  <c r="W28" i="29"/>
  <c r="V28" i="29"/>
  <c r="U28" i="29"/>
  <c r="T28" i="29"/>
  <c r="S28" i="29"/>
  <c r="P28" i="29"/>
  <c r="O28" i="29"/>
  <c r="N28" i="29"/>
  <c r="M28" i="29"/>
  <c r="L28" i="29"/>
  <c r="K28" i="29"/>
  <c r="H28" i="29"/>
  <c r="G28" i="29"/>
  <c r="F28" i="29"/>
  <c r="E28" i="29"/>
  <c r="D28" i="29"/>
  <c r="C28" i="29"/>
  <c r="A28" i="29"/>
  <c r="Y27" i="29"/>
  <c r="Q27" i="29"/>
  <c r="I27" i="29"/>
  <c r="Y26" i="29"/>
  <c r="Q26" i="29"/>
  <c r="I26" i="29"/>
  <c r="Y24" i="29"/>
  <c r="Q24" i="29"/>
  <c r="I24" i="29"/>
  <c r="B31" i="27" s="1"/>
  <c r="X21" i="29"/>
  <c r="X22" i="29" s="1"/>
  <c r="T21" i="29"/>
  <c r="T22" i="29" s="1"/>
  <c r="P21" i="29"/>
  <c r="P22" i="29" s="1"/>
  <c r="O21" i="29"/>
  <c r="O22" i="29" s="1"/>
  <c r="N21" i="29"/>
  <c r="N22" i="29" s="1"/>
  <c r="M21" i="29"/>
  <c r="M22" i="29" s="1"/>
  <c r="L21" i="29"/>
  <c r="L22" i="29" s="1"/>
  <c r="K21" i="29"/>
  <c r="K22" i="29" s="1"/>
  <c r="H22" i="29"/>
  <c r="G21" i="29"/>
  <c r="G22" i="29" s="1"/>
  <c r="F21" i="29"/>
  <c r="F22" i="29" s="1"/>
  <c r="E21" i="29"/>
  <c r="E22" i="29" s="1"/>
  <c r="D21" i="29"/>
  <c r="D22" i="29" s="1"/>
  <c r="C21" i="29"/>
  <c r="C22" i="29" s="1"/>
  <c r="Y19" i="29"/>
  <c r="Q19" i="29"/>
  <c r="I19" i="29"/>
  <c r="Y18" i="29"/>
  <c r="Q18" i="29"/>
  <c r="I18" i="29"/>
  <c r="X15" i="29"/>
  <c r="W15" i="29"/>
  <c r="V15" i="29"/>
  <c r="U15" i="29"/>
  <c r="T15" i="29"/>
  <c r="S15" i="29"/>
  <c r="P15" i="29"/>
  <c r="O15" i="29"/>
  <c r="N15" i="29"/>
  <c r="M15" i="29"/>
  <c r="L15" i="29"/>
  <c r="K15" i="29"/>
  <c r="H15" i="29"/>
  <c r="G15" i="29"/>
  <c r="F15" i="29"/>
  <c r="E15" i="29"/>
  <c r="D15" i="29"/>
  <c r="Y14" i="29"/>
  <c r="Q14" i="29"/>
  <c r="I14" i="29"/>
  <c r="Y13" i="29"/>
  <c r="Q13" i="29"/>
  <c r="I13" i="29"/>
  <c r="Y12" i="29"/>
  <c r="Q12" i="29"/>
  <c r="I12" i="29"/>
  <c r="Y11" i="29"/>
  <c r="Q11" i="29"/>
  <c r="I11" i="29"/>
  <c r="B22" i="27" s="1"/>
  <c r="Y10" i="29"/>
  <c r="Q10" i="29"/>
  <c r="Y9" i="29"/>
  <c r="Q9" i="29"/>
  <c r="I9" i="29"/>
  <c r="Y8" i="29"/>
  <c r="Q8" i="29"/>
  <c r="I8" i="29"/>
  <c r="Y7" i="29"/>
  <c r="Q7" i="29"/>
  <c r="C21" i="27" s="1"/>
  <c r="I7" i="29"/>
  <c r="B21" i="27" s="1"/>
  <c r="Y6" i="29"/>
  <c r="Q6" i="29"/>
  <c r="C20" i="27" s="1"/>
  <c r="I6" i="29"/>
  <c r="B20" i="27" s="1"/>
  <c r="I8" i="31" l="1"/>
  <c r="AA24" i="29"/>
  <c r="C31" i="27"/>
  <c r="I15" i="29"/>
  <c r="I14" i="31"/>
  <c r="L25" i="12"/>
  <c r="L48" i="12" s="1"/>
  <c r="K33" i="29"/>
  <c r="W33" i="29"/>
  <c r="I28" i="29"/>
  <c r="I6" i="31"/>
  <c r="V21" i="29"/>
  <c r="V22" i="29" s="1"/>
  <c r="U21" i="29"/>
  <c r="U22" i="29" s="1"/>
  <c r="W21" i="29"/>
  <c r="W22" i="29" s="1"/>
  <c r="W36" i="29" s="1"/>
  <c r="W38" i="29" s="1"/>
  <c r="S21" i="29"/>
  <c r="C22" i="27"/>
  <c r="I30" i="29"/>
  <c r="Y30" i="29"/>
  <c r="C33" i="29"/>
  <c r="Y29" i="29"/>
  <c r="Q29" i="29"/>
  <c r="G33" i="29"/>
  <c r="O33" i="29"/>
  <c r="I34" i="29"/>
  <c r="B33" i="27" s="1"/>
  <c r="Q34" i="29"/>
  <c r="C33" i="27" s="1"/>
  <c r="Y34" i="29"/>
  <c r="D33" i="27" s="1"/>
  <c r="Q32" i="29"/>
  <c r="Q22" i="29"/>
  <c r="G36" i="29"/>
  <c r="G38" i="29" s="1"/>
  <c r="I32" i="29"/>
  <c r="C36" i="29"/>
  <c r="C38" i="29" s="1"/>
  <c r="I22" i="29"/>
  <c r="N7" i="30"/>
  <c r="Q28" i="29"/>
  <c r="O36" i="29"/>
  <c r="O38" i="29" s="1"/>
  <c r="K36" i="29"/>
  <c r="K38" i="29" s="1"/>
  <c r="F6" i="30"/>
  <c r="Q15" i="29"/>
  <c r="S33" i="29"/>
  <c r="Y28" i="29"/>
  <c r="Q30" i="29"/>
  <c r="I29" i="29"/>
  <c r="E7" i="30"/>
  <c r="F7" i="30" s="1"/>
  <c r="B8" i="30"/>
  <c r="J6" i="30"/>
  <c r="G16" i="30"/>
  <c r="B8" i="31"/>
  <c r="E7" i="31"/>
  <c r="H7" i="31"/>
  <c r="I21" i="29"/>
  <c r="J7" i="30"/>
  <c r="K7" i="30" s="1"/>
  <c r="N8" i="30"/>
  <c r="G6" i="31"/>
  <c r="J6" i="31" s="1"/>
  <c r="Q21" i="29"/>
  <c r="Y32" i="29"/>
  <c r="O6" i="31"/>
  <c r="N7" i="31"/>
  <c r="I11" i="31"/>
  <c r="Y15" i="29"/>
  <c r="G8" i="20"/>
  <c r="F8" i="20"/>
  <c r="C73" i="5"/>
  <c r="C72" i="5"/>
  <c r="C71" i="5" s="1"/>
  <c r="D72" i="5"/>
  <c r="E72" i="5"/>
  <c r="D73" i="5"/>
  <c r="E73" i="5"/>
  <c r="AA32" i="29" l="1"/>
  <c r="AA28" i="29"/>
  <c r="AA30" i="29"/>
  <c r="Y21" i="29"/>
  <c r="AA21" i="29" s="1"/>
  <c r="Y25" i="29"/>
  <c r="S22" i="29"/>
  <c r="Y22" i="29" s="1"/>
  <c r="AA22" i="29" s="1"/>
  <c r="B9" i="31"/>
  <c r="E8" i="31"/>
  <c r="H8" i="31"/>
  <c r="I7" i="30"/>
  <c r="M7" i="30"/>
  <c r="P7" i="30" s="1"/>
  <c r="Q7" i="30" s="1"/>
  <c r="M8" i="31"/>
  <c r="H8" i="30"/>
  <c r="B9" i="30"/>
  <c r="E8" i="30"/>
  <c r="F8" i="30" s="1"/>
  <c r="K6" i="30"/>
  <c r="N6" i="31"/>
  <c r="K6" i="31"/>
  <c r="O7" i="31"/>
  <c r="J7" i="31"/>
  <c r="K7" i="31" s="1"/>
  <c r="I6" i="30"/>
  <c r="M6" i="30"/>
  <c r="F7" i="31"/>
  <c r="F9" i="20"/>
  <c r="F10" i="20" s="1"/>
  <c r="F11" i="20" s="1"/>
  <c r="G9" i="20"/>
  <c r="G10" i="20" s="1"/>
  <c r="E8" i="20"/>
  <c r="G73" i="5"/>
  <c r="D9" i="14"/>
  <c r="J28" i="12" l="1"/>
  <c r="A31" i="29"/>
  <c r="S36" i="29"/>
  <c r="S38" i="29" s="1"/>
  <c r="B10" i="31"/>
  <c r="E9" i="31"/>
  <c r="H9" i="31"/>
  <c r="N9" i="31"/>
  <c r="I8" i="30"/>
  <c r="M8" i="30"/>
  <c r="P6" i="31"/>
  <c r="G8" i="31"/>
  <c r="J8" i="31" s="1"/>
  <c r="M7" i="31"/>
  <c r="I7" i="31"/>
  <c r="B10" i="30"/>
  <c r="E9" i="30"/>
  <c r="H9" i="30"/>
  <c r="N9" i="30"/>
  <c r="O8" i="30"/>
  <c r="J8" i="30"/>
  <c r="P6" i="30"/>
  <c r="O8" i="31"/>
  <c r="E9" i="20"/>
  <c r="E10" i="20" s="1"/>
  <c r="E11" i="20" s="1"/>
  <c r="G12" i="20"/>
  <c r="G11" i="20"/>
  <c r="F12" i="20"/>
  <c r="F13" i="20" s="1"/>
  <c r="B45" i="5"/>
  <c r="V31" i="29" l="1"/>
  <c r="F31" i="29"/>
  <c r="U31" i="29"/>
  <c r="E31" i="29"/>
  <c r="T31" i="29"/>
  <c r="D31" i="29"/>
  <c r="P31" i="29"/>
  <c r="N31" i="29"/>
  <c r="M31" i="29"/>
  <c r="L31" i="29"/>
  <c r="X31" i="29"/>
  <c r="H31" i="29"/>
  <c r="F9" i="31"/>
  <c r="Q6" i="31"/>
  <c r="Q6" i="30"/>
  <c r="P7" i="31"/>
  <c r="Q7" i="31" s="1"/>
  <c r="P8" i="30"/>
  <c r="Q8" i="30" s="1"/>
  <c r="H10" i="31"/>
  <c r="B11" i="31"/>
  <c r="E10" i="31"/>
  <c r="N10" i="31"/>
  <c r="J9" i="31"/>
  <c r="K9" i="31" s="1"/>
  <c r="O9" i="31"/>
  <c r="J9" i="30"/>
  <c r="K9" i="30" s="1"/>
  <c r="O9" i="30"/>
  <c r="F9" i="30"/>
  <c r="K8" i="31"/>
  <c r="N8" i="31"/>
  <c r="K8" i="30"/>
  <c r="B11" i="30"/>
  <c r="E10" i="30"/>
  <c r="N10" i="30"/>
  <c r="H10" i="30"/>
  <c r="G13" i="20"/>
  <c r="E12" i="20"/>
  <c r="E13" i="20" s="1"/>
  <c r="AM46" i="12"/>
  <c r="AK44" i="12"/>
  <c r="AK43" i="12"/>
  <c r="AK42" i="12"/>
  <c r="AK39" i="12"/>
  <c r="AK38" i="12"/>
  <c r="AK37" i="12"/>
  <c r="AK36" i="12"/>
  <c r="AK35" i="12"/>
  <c r="AL32" i="12"/>
  <c r="AL31" i="12"/>
  <c r="AL30" i="12"/>
  <c r="AL29" i="12"/>
  <c r="AL28" i="12"/>
  <c r="AL27" i="12"/>
  <c r="AL24" i="12"/>
  <c r="AK23" i="12"/>
  <c r="AO23" i="12" s="1"/>
  <c r="AQ23" i="12" s="1"/>
  <c r="AK22" i="12"/>
  <c r="AO22" i="12" s="1"/>
  <c r="AQ22" i="12" s="1"/>
  <c r="AK21" i="12"/>
  <c r="AO21" i="12" s="1"/>
  <c r="AQ21" i="12" s="1"/>
  <c r="AK20" i="12"/>
  <c r="AO20" i="12" s="1"/>
  <c r="AQ20" i="12" s="1"/>
  <c r="AK19" i="12"/>
  <c r="AO19" i="12" s="1"/>
  <c r="AQ19" i="12" s="1"/>
  <c r="Y46" i="12"/>
  <c r="W44" i="12"/>
  <c r="W43" i="12"/>
  <c r="W39" i="12"/>
  <c r="W38" i="12"/>
  <c r="W37" i="12"/>
  <c r="W36" i="12"/>
  <c r="W35" i="12"/>
  <c r="X32" i="12"/>
  <c r="X31" i="12"/>
  <c r="X30" i="12"/>
  <c r="X29" i="12"/>
  <c r="X28" i="12"/>
  <c r="X27" i="12"/>
  <c r="X24" i="12"/>
  <c r="W23" i="12"/>
  <c r="AA23" i="12" s="1"/>
  <c r="AC23" i="12" s="1"/>
  <c r="W22" i="12"/>
  <c r="AA22" i="12" s="1"/>
  <c r="AC22" i="12" s="1"/>
  <c r="W21" i="12"/>
  <c r="AA21" i="12" s="1"/>
  <c r="AC21" i="12" s="1"/>
  <c r="W20" i="12"/>
  <c r="AA20" i="12" s="1"/>
  <c r="AC20" i="12" s="1"/>
  <c r="W19" i="12"/>
  <c r="AA19" i="12" s="1"/>
  <c r="J24" i="12"/>
  <c r="J29" i="12"/>
  <c r="J30" i="12"/>
  <c r="J31" i="12"/>
  <c r="J32" i="12"/>
  <c r="J27" i="12"/>
  <c r="J11" i="12"/>
  <c r="J12" i="12"/>
  <c r="J13" i="12"/>
  <c r="J14" i="12"/>
  <c r="J15" i="12"/>
  <c r="J16" i="12"/>
  <c r="J10" i="12"/>
  <c r="P36" i="29" l="1"/>
  <c r="P38" i="29" s="1"/>
  <c r="P33" i="29"/>
  <c r="D36" i="29"/>
  <c r="D38" i="29" s="1"/>
  <c r="I31" i="29"/>
  <c r="D33" i="29"/>
  <c r="Y31" i="29"/>
  <c r="Y36" i="29" s="1"/>
  <c r="T33" i="29"/>
  <c r="T36" i="29"/>
  <c r="T38" i="29" s="1"/>
  <c r="H33" i="29"/>
  <c r="H36" i="29"/>
  <c r="H38" i="29" s="1"/>
  <c r="E36" i="29"/>
  <c r="E38" i="29" s="1"/>
  <c r="E33" i="29"/>
  <c r="X33" i="29"/>
  <c r="X36" i="29"/>
  <c r="X38" i="29" s="1"/>
  <c r="L36" i="29"/>
  <c r="L38" i="29" s="1"/>
  <c r="Q31" i="29"/>
  <c r="Q36" i="29" s="1"/>
  <c r="L33" i="29"/>
  <c r="M33" i="29"/>
  <c r="M36" i="29"/>
  <c r="M38" i="29" s="1"/>
  <c r="V33" i="29"/>
  <c r="V36" i="29"/>
  <c r="V38" i="29" s="1"/>
  <c r="U33" i="29"/>
  <c r="U36" i="29"/>
  <c r="U38" i="29" s="1"/>
  <c r="F36" i="29"/>
  <c r="F38" i="29" s="1"/>
  <c r="F33" i="29"/>
  <c r="N33" i="29"/>
  <c r="N36" i="29"/>
  <c r="N38" i="29" s="1"/>
  <c r="W40" i="12"/>
  <c r="AK45" i="12"/>
  <c r="AK40" i="12"/>
  <c r="W45" i="12"/>
  <c r="AS42" i="12"/>
  <c r="AO42" i="12"/>
  <c r="AP29" i="12"/>
  <c r="AT29" i="12"/>
  <c r="AS37" i="12"/>
  <c r="AU37" i="12" s="1"/>
  <c r="AO37" i="12"/>
  <c r="AQ37" i="12" s="1"/>
  <c r="AS43" i="12"/>
  <c r="AU43" i="12" s="1"/>
  <c r="AO43" i="12"/>
  <c r="AQ43" i="12" s="1"/>
  <c r="AP27" i="12"/>
  <c r="AT27" i="12"/>
  <c r="AS36" i="12"/>
  <c r="AU36" i="12" s="1"/>
  <c r="AO36" i="12"/>
  <c r="AQ36" i="12" s="1"/>
  <c r="AP30" i="12"/>
  <c r="AT30" i="12"/>
  <c r="AS38" i="12"/>
  <c r="AU38" i="12" s="1"/>
  <c r="AO38" i="12"/>
  <c r="AQ38" i="12" s="1"/>
  <c r="AS44" i="12"/>
  <c r="AU44" i="12" s="1"/>
  <c r="AO44" i="12"/>
  <c r="AQ44" i="12" s="1"/>
  <c r="AP28" i="12"/>
  <c r="AT28" i="12"/>
  <c r="AP31" i="12"/>
  <c r="AT31" i="12"/>
  <c r="AS39" i="12"/>
  <c r="AU39" i="12" s="1"/>
  <c r="AO39" i="12"/>
  <c r="AQ39" i="12" s="1"/>
  <c r="AS35" i="12"/>
  <c r="AO35" i="12"/>
  <c r="AP32" i="12"/>
  <c r="AT32" i="12"/>
  <c r="AE36" i="12"/>
  <c r="AG36" i="12" s="1"/>
  <c r="AA36" i="12"/>
  <c r="AC36" i="12" s="1"/>
  <c r="AM42" i="12"/>
  <c r="AF29" i="12"/>
  <c r="AB29" i="12"/>
  <c r="AA37" i="12"/>
  <c r="AC37" i="12" s="1"/>
  <c r="AE37" i="12"/>
  <c r="AG37" i="12" s="1"/>
  <c r="AE43" i="12"/>
  <c r="AG43" i="12" s="1"/>
  <c r="AA43" i="12"/>
  <c r="AC43" i="12" s="1"/>
  <c r="AM21" i="12"/>
  <c r="AM37" i="12"/>
  <c r="AM43" i="12"/>
  <c r="AB27" i="12"/>
  <c r="AF27" i="12"/>
  <c r="AM19" i="12"/>
  <c r="AB28" i="12"/>
  <c r="AF28" i="12"/>
  <c r="AM20" i="12"/>
  <c r="AF30" i="12"/>
  <c r="AB30" i="12"/>
  <c r="AA38" i="12"/>
  <c r="AC38" i="12" s="1"/>
  <c r="AE38" i="12"/>
  <c r="AG38" i="12" s="1"/>
  <c r="AE44" i="12"/>
  <c r="AG44" i="12" s="1"/>
  <c r="AA44" i="12"/>
  <c r="AC44" i="12" s="1"/>
  <c r="AM22" i="12"/>
  <c r="AM38" i="12"/>
  <c r="AM44" i="12"/>
  <c r="AC19" i="12"/>
  <c r="AC24" i="12" s="1"/>
  <c r="AA24" i="12"/>
  <c r="AF31" i="12"/>
  <c r="AB31" i="12"/>
  <c r="AA39" i="12"/>
  <c r="AC39" i="12" s="1"/>
  <c r="AE39" i="12"/>
  <c r="AG39" i="12" s="1"/>
  <c r="AM23" i="12"/>
  <c r="AM39" i="12"/>
  <c r="AE35" i="12"/>
  <c r="AA35" i="12"/>
  <c r="AM35" i="12"/>
  <c r="AE42" i="12"/>
  <c r="AA42" i="12"/>
  <c r="AM36" i="12"/>
  <c r="AF32" i="12"/>
  <c r="AB32" i="12"/>
  <c r="Y42" i="12"/>
  <c r="Y20" i="12"/>
  <c r="Y37" i="12"/>
  <c r="Y43" i="12"/>
  <c r="Y19" i="12"/>
  <c r="Y22" i="12"/>
  <c r="Y38" i="12"/>
  <c r="Y44" i="12"/>
  <c r="Y36" i="12"/>
  <c r="Y23" i="12"/>
  <c r="Y39" i="12"/>
  <c r="Y21" i="12"/>
  <c r="R31" i="12"/>
  <c r="N31" i="12"/>
  <c r="R29" i="12"/>
  <c r="N29" i="12"/>
  <c r="R30" i="12"/>
  <c r="N30" i="12"/>
  <c r="R28" i="12"/>
  <c r="N28" i="12"/>
  <c r="R32" i="12"/>
  <c r="N32" i="12"/>
  <c r="N27" i="12"/>
  <c r="R27" i="12"/>
  <c r="N13" i="12"/>
  <c r="R13" i="12"/>
  <c r="N12" i="12"/>
  <c r="R12" i="12"/>
  <c r="N11" i="12"/>
  <c r="R11" i="12"/>
  <c r="R14" i="12"/>
  <c r="N14" i="12"/>
  <c r="R10" i="12"/>
  <c r="N10" i="12"/>
  <c r="R16" i="12"/>
  <c r="N16" i="12"/>
  <c r="R15" i="12"/>
  <c r="N15" i="12"/>
  <c r="P8" i="31"/>
  <c r="Q8" i="31" s="1"/>
  <c r="H11" i="31"/>
  <c r="B12" i="31"/>
  <c r="E11" i="31"/>
  <c r="M11" i="31"/>
  <c r="O10" i="31"/>
  <c r="J10" i="31"/>
  <c r="K10" i="31" s="1"/>
  <c r="F10" i="30"/>
  <c r="O10" i="30"/>
  <c r="J10" i="30"/>
  <c r="K10" i="30" s="1"/>
  <c r="B12" i="30"/>
  <c r="E11" i="30"/>
  <c r="H11" i="30"/>
  <c r="N11" i="30"/>
  <c r="M9" i="30"/>
  <c r="I9" i="30"/>
  <c r="I9" i="31"/>
  <c r="M9" i="31"/>
  <c r="F10" i="31"/>
  <c r="J17" i="12"/>
  <c r="J25" i="12" s="1"/>
  <c r="AL33" i="12"/>
  <c r="AL47" i="12" s="1"/>
  <c r="AK24" i="12"/>
  <c r="W24" i="12"/>
  <c r="X33" i="12"/>
  <c r="X47" i="12" s="1"/>
  <c r="Y35" i="12"/>
  <c r="J33" i="12"/>
  <c r="J47" i="12" s="1"/>
  <c r="Q38" i="29" l="1"/>
  <c r="Y38" i="29"/>
  <c r="Y33" i="29"/>
  <c r="I33" i="29"/>
  <c r="AA31" i="29"/>
  <c r="I36" i="29"/>
  <c r="AA36" i="29" s="1"/>
  <c r="I38" i="29"/>
  <c r="Q33" i="29"/>
  <c r="Y40" i="12"/>
  <c r="AA40" i="12"/>
  <c r="AE40" i="12"/>
  <c r="AQ42" i="12"/>
  <c r="AQ45" i="12" s="1"/>
  <c r="AO45" i="12"/>
  <c r="AU42" i="12"/>
  <c r="AU45" i="12" s="1"/>
  <c r="AS45" i="12"/>
  <c r="AM45" i="12"/>
  <c r="AQ35" i="12"/>
  <c r="AQ40" i="12" s="1"/>
  <c r="AO40" i="12"/>
  <c r="AU35" i="12"/>
  <c r="AU40" i="12" s="1"/>
  <c r="AS40" i="12"/>
  <c r="AM40" i="12"/>
  <c r="AC42" i="12"/>
  <c r="AC45" i="12" s="1"/>
  <c r="AA45" i="12"/>
  <c r="AG42" i="12"/>
  <c r="AG45" i="12" s="1"/>
  <c r="AE45" i="12"/>
  <c r="Y45" i="12"/>
  <c r="AP33" i="12"/>
  <c r="AP47" i="12" s="1"/>
  <c r="AT33" i="12"/>
  <c r="AT47" i="12" s="1"/>
  <c r="AF33" i="12"/>
  <c r="AF47" i="12" s="1"/>
  <c r="Y24" i="12"/>
  <c r="AB33" i="12"/>
  <c r="AB47" i="12" s="1"/>
  <c r="AM24" i="12"/>
  <c r="AC35" i="12"/>
  <c r="AC40" i="12" s="1"/>
  <c r="AG35" i="12"/>
  <c r="AG40" i="12" s="1"/>
  <c r="AO24" i="12"/>
  <c r="AQ24" i="12"/>
  <c r="R33" i="12"/>
  <c r="R47" i="12" s="1"/>
  <c r="N33" i="12"/>
  <c r="N47" i="12" s="1"/>
  <c r="N17" i="12"/>
  <c r="R17" i="12"/>
  <c r="R25" i="12" s="1"/>
  <c r="B13" i="31"/>
  <c r="E12" i="31"/>
  <c r="H12" i="31"/>
  <c r="N12" i="31"/>
  <c r="J11" i="30"/>
  <c r="K11" i="30" s="1"/>
  <c r="O11" i="30"/>
  <c r="O11" i="31"/>
  <c r="I10" i="31"/>
  <c r="M10" i="31"/>
  <c r="P10" i="31" s="1"/>
  <c r="Q10" i="31" s="1"/>
  <c r="F11" i="30"/>
  <c r="H12" i="30"/>
  <c r="B13" i="30"/>
  <c r="E12" i="30"/>
  <c r="F12" i="30" s="1"/>
  <c r="N12" i="30"/>
  <c r="M10" i="30"/>
  <c r="P10" i="30" s="1"/>
  <c r="Q10" i="30" s="1"/>
  <c r="I10" i="30"/>
  <c r="P9" i="31"/>
  <c r="P9" i="30"/>
  <c r="G11" i="31"/>
  <c r="J11" i="31" s="1"/>
  <c r="I27" i="12"/>
  <c r="W31" i="12"/>
  <c r="AK29" i="12"/>
  <c r="W30" i="12"/>
  <c r="AK31" i="12"/>
  <c r="AK28" i="12"/>
  <c r="W32" i="12"/>
  <c r="AK30" i="12"/>
  <c r="AK27" i="12"/>
  <c r="W28" i="12"/>
  <c r="AK32" i="12"/>
  <c r="W27" i="12"/>
  <c r="W29" i="12"/>
  <c r="W15" i="12"/>
  <c r="I13" i="12"/>
  <c r="I16" i="12"/>
  <c r="W12" i="12"/>
  <c r="I11" i="12"/>
  <c r="I14" i="12"/>
  <c r="I12" i="12"/>
  <c r="I15" i="12"/>
  <c r="W13" i="12"/>
  <c r="W14" i="12"/>
  <c r="W11" i="12"/>
  <c r="W16" i="12"/>
  <c r="W10" i="12"/>
  <c r="F47" i="5"/>
  <c r="AA38" i="29" l="1"/>
  <c r="AA33" i="29"/>
  <c r="R48" i="12"/>
  <c r="AS31" i="12"/>
  <c r="AU31" i="12" s="1"/>
  <c r="AO31" i="12"/>
  <c r="AQ31" i="12" s="1"/>
  <c r="AS27" i="12"/>
  <c r="AU27" i="12" s="1"/>
  <c r="AO27" i="12"/>
  <c r="AQ27" i="12" s="1"/>
  <c r="AS29" i="12"/>
  <c r="AU29" i="12" s="1"/>
  <c r="AO29" i="12"/>
  <c r="AQ29" i="12" s="1"/>
  <c r="AS32" i="12"/>
  <c r="AU32" i="12" s="1"/>
  <c r="AO32" i="12"/>
  <c r="AQ32" i="12" s="1"/>
  <c r="AS30" i="12"/>
  <c r="AU30" i="12" s="1"/>
  <c r="AO30" i="12"/>
  <c r="AQ30" i="12" s="1"/>
  <c r="AS28" i="12"/>
  <c r="AU28" i="12" s="1"/>
  <c r="AO28" i="12"/>
  <c r="AQ28" i="12" s="1"/>
  <c r="AA28" i="12"/>
  <c r="AC28" i="12" s="1"/>
  <c r="AE28" i="12"/>
  <c r="AG28" i="12" s="1"/>
  <c r="AM29" i="12"/>
  <c r="AM30" i="12"/>
  <c r="AE31" i="12"/>
  <c r="AG31" i="12" s="1"/>
  <c r="AA31" i="12"/>
  <c r="AC31" i="12" s="1"/>
  <c r="AA29" i="12"/>
  <c r="AC29" i="12" s="1"/>
  <c r="AE29" i="12"/>
  <c r="AG29" i="12" s="1"/>
  <c r="AE32" i="12"/>
  <c r="AG32" i="12" s="1"/>
  <c r="AA32" i="12"/>
  <c r="AC32" i="12" s="1"/>
  <c r="AE30" i="12"/>
  <c r="AG30" i="12" s="1"/>
  <c r="AA30" i="12"/>
  <c r="AC30" i="12" s="1"/>
  <c r="AA27" i="12"/>
  <c r="AE27" i="12"/>
  <c r="AM28" i="12"/>
  <c r="AM32" i="12"/>
  <c r="AM31" i="12"/>
  <c r="AA14" i="12"/>
  <c r="AE14" i="12"/>
  <c r="AA12" i="12"/>
  <c r="AE12" i="12"/>
  <c r="AA13" i="12"/>
  <c r="AE13" i="12"/>
  <c r="AA10" i="12"/>
  <c r="AE10" i="12"/>
  <c r="AA15" i="12"/>
  <c r="AE15" i="12"/>
  <c r="AA11" i="12"/>
  <c r="AE11" i="12"/>
  <c r="AA16" i="12"/>
  <c r="AE16" i="12"/>
  <c r="Y30" i="12"/>
  <c r="N25" i="12"/>
  <c r="Y31" i="12"/>
  <c r="Y29" i="12"/>
  <c r="Y32" i="12"/>
  <c r="Y28" i="12"/>
  <c r="K27" i="12"/>
  <c r="M27" i="12"/>
  <c r="Q27" i="12"/>
  <c r="K16" i="12"/>
  <c r="X16" i="12" s="1"/>
  <c r="Q16" i="12"/>
  <c r="S16" i="12" s="1"/>
  <c r="M16" i="12"/>
  <c r="O16" i="12" s="1"/>
  <c r="K14" i="12"/>
  <c r="X14" i="12" s="1"/>
  <c r="M14" i="12"/>
  <c r="O14" i="12" s="1"/>
  <c r="Q14" i="12"/>
  <c r="S14" i="12" s="1"/>
  <c r="K13" i="12"/>
  <c r="X13" i="12" s="1"/>
  <c r="M13" i="12"/>
  <c r="O13" i="12" s="1"/>
  <c r="Q13" i="12"/>
  <c r="S13" i="12" s="1"/>
  <c r="Q11" i="12"/>
  <c r="S11" i="12" s="1"/>
  <c r="M11" i="12"/>
  <c r="O11" i="12" s="1"/>
  <c r="K15" i="12"/>
  <c r="X15" i="12" s="1"/>
  <c r="Q15" i="12"/>
  <c r="S15" i="12" s="1"/>
  <c r="M15" i="12"/>
  <c r="O15" i="12" s="1"/>
  <c r="K12" i="12"/>
  <c r="X12" i="12" s="1"/>
  <c r="Q12" i="12"/>
  <c r="S12" i="12" s="1"/>
  <c r="M12" i="12"/>
  <c r="O12" i="12" s="1"/>
  <c r="I12" i="30"/>
  <c r="M12" i="30"/>
  <c r="H13" i="30"/>
  <c r="B14" i="30"/>
  <c r="E13" i="30"/>
  <c r="N13" i="30"/>
  <c r="N11" i="31"/>
  <c r="K11" i="31"/>
  <c r="J12" i="30"/>
  <c r="K12" i="30" s="1"/>
  <c r="O12" i="30"/>
  <c r="Q9" i="30"/>
  <c r="Q9" i="31"/>
  <c r="J12" i="31"/>
  <c r="K12" i="31" s="1"/>
  <c r="O12" i="31"/>
  <c r="F12" i="31"/>
  <c r="B14" i="31"/>
  <c r="E13" i="31"/>
  <c r="H13" i="31"/>
  <c r="N13" i="31"/>
  <c r="M11" i="30"/>
  <c r="P11" i="30" s="1"/>
  <c r="Q11" i="30" s="1"/>
  <c r="I11" i="30"/>
  <c r="K11" i="12"/>
  <c r="X11" i="12" s="1"/>
  <c r="AM27" i="12"/>
  <c r="AK33" i="12"/>
  <c r="AK47" i="12" s="1"/>
  <c r="W33" i="12"/>
  <c r="W47" i="12" s="1"/>
  <c r="Y27" i="12"/>
  <c r="W17" i="12"/>
  <c r="W25" i="12" s="1"/>
  <c r="F13" i="30" l="1"/>
  <c r="N48" i="12"/>
  <c r="C45" i="5" s="1"/>
  <c r="W48" i="12"/>
  <c r="AO33" i="12"/>
  <c r="AO47" i="12" s="1"/>
  <c r="AQ33" i="12"/>
  <c r="AQ47" i="12" s="1"/>
  <c r="AE33" i="12"/>
  <c r="AE47" i="12" s="1"/>
  <c r="AG27" i="12"/>
  <c r="AG33" i="12" s="1"/>
  <c r="AG47" i="12" s="1"/>
  <c r="AA33" i="12"/>
  <c r="AA47" i="12" s="1"/>
  <c r="AC27" i="12"/>
  <c r="AC33" i="12" s="1"/>
  <c r="AC47" i="12" s="1"/>
  <c r="AM33" i="12"/>
  <c r="AM47" i="12" s="1"/>
  <c r="AV27" i="12"/>
  <c r="Y33" i="12"/>
  <c r="Y47" i="12" s="1"/>
  <c r="AS33" i="12"/>
  <c r="AS47" i="12" s="1"/>
  <c r="AU33" i="12"/>
  <c r="AU47" i="12" s="1"/>
  <c r="AB11" i="12"/>
  <c r="AC11" i="12" s="1"/>
  <c r="AF11" i="12"/>
  <c r="AG11" i="12" s="1"/>
  <c r="AB12" i="12"/>
  <c r="AC12" i="12" s="1"/>
  <c r="AF12" i="12"/>
  <c r="AG12" i="12" s="1"/>
  <c r="AB13" i="12"/>
  <c r="AC13" i="12" s="1"/>
  <c r="AF13" i="12"/>
  <c r="AG13" i="12" s="1"/>
  <c r="AB16" i="12"/>
  <c r="AC16" i="12" s="1"/>
  <c r="AF16" i="12"/>
  <c r="AG16" i="12" s="1"/>
  <c r="AE17" i="12"/>
  <c r="AE25" i="12" s="1"/>
  <c r="AB14" i="12"/>
  <c r="AC14" i="12" s="1"/>
  <c r="AF14" i="12"/>
  <c r="AG14" i="12" s="1"/>
  <c r="AB15" i="12"/>
  <c r="AC15" i="12" s="1"/>
  <c r="AF15" i="12"/>
  <c r="AG15" i="12" s="1"/>
  <c r="AA17" i="12"/>
  <c r="AA25" i="12" s="1"/>
  <c r="Y14" i="12"/>
  <c r="AL14" i="12" s="1"/>
  <c r="Y16" i="12"/>
  <c r="AL16" i="12" s="1"/>
  <c r="Y13" i="12"/>
  <c r="AL13" i="12" s="1"/>
  <c r="S27" i="12"/>
  <c r="Y12" i="12"/>
  <c r="AL12" i="12" s="1"/>
  <c r="O27" i="12"/>
  <c r="AK15" i="12"/>
  <c r="AK14" i="12"/>
  <c r="AK12" i="12"/>
  <c r="AK11" i="12"/>
  <c r="Y15" i="12"/>
  <c r="AL15" i="12" s="1"/>
  <c r="AK13" i="12"/>
  <c r="AK16" i="12"/>
  <c r="I13" i="30"/>
  <c r="M13" i="30"/>
  <c r="B15" i="31"/>
  <c r="E14" i="31"/>
  <c r="H14" i="31"/>
  <c r="M14" i="31"/>
  <c r="H14" i="30"/>
  <c r="B15" i="30"/>
  <c r="E14" i="30"/>
  <c r="N14" i="30"/>
  <c r="J13" i="31"/>
  <c r="K13" i="31" s="1"/>
  <c r="O13" i="31"/>
  <c r="F13" i="31"/>
  <c r="M12" i="31"/>
  <c r="I12" i="31"/>
  <c r="O13" i="30"/>
  <c r="J13" i="30"/>
  <c r="K13" i="30" s="1"/>
  <c r="P12" i="30"/>
  <c r="Q12" i="30" s="1"/>
  <c r="P11" i="31"/>
  <c r="Y11" i="12"/>
  <c r="AL11" i="12" s="1"/>
  <c r="AA48" i="12" l="1"/>
  <c r="D56" i="5" s="1"/>
  <c r="AE48" i="12"/>
  <c r="AS14" i="12"/>
  <c r="AO14" i="12"/>
  <c r="AP16" i="12"/>
  <c r="AT16" i="12"/>
  <c r="AP14" i="12"/>
  <c r="AT14" i="12"/>
  <c r="AT12" i="12"/>
  <c r="AP12" i="12"/>
  <c r="AS16" i="12"/>
  <c r="AO16" i="12"/>
  <c r="AS11" i="12"/>
  <c r="AO11" i="12"/>
  <c r="AS15" i="12"/>
  <c r="AO15" i="12"/>
  <c r="AS13" i="12"/>
  <c r="AO13" i="12"/>
  <c r="AP15" i="12"/>
  <c r="AT15" i="12"/>
  <c r="AT11" i="12"/>
  <c r="AP11" i="12"/>
  <c r="AS12" i="12"/>
  <c r="AO12" i="12"/>
  <c r="AT13" i="12"/>
  <c r="AP13" i="12"/>
  <c r="AM14" i="12"/>
  <c r="AM13" i="12"/>
  <c r="AM12" i="12"/>
  <c r="AM15" i="12"/>
  <c r="AM16" i="12"/>
  <c r="AM11" i="12"/>
  <c r="F14" i="30"/>
  <c r="I14" i="30" s="1"/>
  <c r="P12" i="31"/>
  <c r="Q12" i="31" s="1"/>
  <c r="O14" i="31"/>
  <c r="G14" i="31"/>
  <c r="J14" i="31" s="1"/>
  <c r="Q11" i="31"/>
  <c r="H15" i="30"/>
  <c r="E15" i="30"/>
  <c r="N15" i="30"/>
  <c r="N16" i="30" s="1"/>
  <c r="M13" i="31"/>
  <c r="P13" i="31" s="1"/>
  <c r="Q13" i="31" s="1"/>
  <c r="I13" i="31"/>
  <c r="H15" i="31"/>
  <c r="E15" i="31"/>
  <c r="N15" i="31"/>
  <c r="O14" i="30"/>
  <c r="J14" i="30"/>
  <c r="K14" i="30" s="1"/>
  <c r="P13" i="30"/>
  <c r="C17" i="5"/>
  <c r="C35" i="5" l="1"/>
  <c r="AU12" i="12"/>
  <c r="AQ12" i="12"/>
  <c r="AV12" i="12" s="1"/>
  <c r="AQ16" i="12"/>
  <c r="AV16" i="12" s="1"/>
  <c r="AU11" i="12"/>
  <c r="AQ11" i="12"/>
  <c r="AV11" i="12" s="1"/>
  <c r="AU13" i="12"/>
  <c r="AU16" i="12"/>
  <c r="AQ15" i="12"/>
  <c r="AV15" i="12" s="1"/>
  <c r="AQ14" i="12"/>
  <c r="AV14" i="12" s="1"/>
  <c r="AQ13" i="12"/>
  <c r="AV13" i="12" s="1"/>
  <c r="AU15" i="12"/>
  <c r="AU14" i="12"/>
  <c r="M14" i="30"/>
  <c r="P14" i="30" s="1"/>
  <c r="Q14" i="30" s="1"/>
  <c r="B10" i="27"/>
  <c r="B15" i="27" s="1"/>
  <c r="D17" i="5"/>
  <c r="J15" i="31"/>
  <c r="J16" i="31" s="1"/>
  <c r="O15" i="31"/>
  <c r="O16" i="31" s="1"/>
  <c r="H16" i="31"/>
  <c r="K14" i="31"/>
  <c r="N14" i="31"/>
  <c r="G16" i="31"/>
  <c r="Q13" i="30"/>
  <c r="F15" i="30"/>
  <c r="E16" i="30"/>
  <c r="F15" i="31"/>
  <c r="E16" i="31"/>
  <c r="J15" i="30"/>
  <c r="J16" i="30" s="1"/>
  <c r="O15" i="30"/>
  <c r="O16" i="30" s="1"/>
  <c r="H16" i="30"/>
  <c r="C41" i="5"/>
  <c r="G14" i="5"/>
  <c r="K15" i="31" l="1"/>
  <c r="K16" i="31" s="1"/>
  <c r="D40" i="5"/>
  <c r="C10" i="27"/>
  <c r="C15" i="27" s="1"/>
  <c r="M15" i="30"/>
  <c r="I15" i="30"/>
  <c r="I16" i="30" s="1"/>
  <c r="B21" i="30" s="1"/>
  <c r="F16" i="30"/>
  <c r="B20" i="30" s="1"/>
  <c r="I15" i="31"/>
  <c r="I16" i="31" s="1"/>
  <c r="B21" i="31" s="1"/>
  <c r="M15" i="31"/>
  <c r="F16" i="31"/>
  <c r="B20" i="31" s="1"/>
  <c r="K15" i="30"/>
  <c r="K16" i="30" s="1"/>
  <c r="N16" i="31"/>
  <c r="P14" i="31"/>
  <c r="E8" i="28"/>
  <c r="E7" i="28"/>
  <c r="D8" i="28"/>
  <c r="D7" i="28"/>
  <c r="G7" i="28" s="1"/>
  <c r="I8" i="28"/>
  <c r="C8" i="28"/>
  <c r="C7" i="28"/>
  <c r="G21" i="28"/>
  <c r="F21" i="28"/>
  <c r="G12" i="28"/>
  <c r="F12" i="28"/>
  <c r="G8" i="28"/>
  <c r="F8" i="28"/>
  <c r="H8" i="28" l="1"/>
  <c r="B22" i="31"/>
  <c r="P15" i="31"/>
  <c r="Q15" i="31" s="1"/>
  <c r="M16" i="31"/>
  <c r="Q14" i="31"/>
  <c r="B22" i="30"/>
  <c r="P15" i="30"/>
  <c r="M16" i="30"/>
  <c r="G23" i="28"/>
  <c r="G28" i="28" s="1"/>
  <c r="F23" i="28"/>
  <c r="F28" i="28" s="1"/>
  <c r="Q15" i="30" l="1"/>
  <c r="Q16" i="30" s="1"/>
  <c r="P16" i="30"/>
  <c r="P16" i="31"/>
  <c r="Q16" i="31"/>
  <c r="F19" i="27" l="1"/>
  <c r="B46" i="27"/>
  <c r="E45" i="27"/>
  <c r="G40" i="27"/>
  <c r="G37" i="27"/>
  <c r="E24" i="27"/>
  <c r="D13" i="27"/>
  <c r="C13" i="27"/>
  <c r="B13" i="27"/>
  <c r="F9" i="27"/>
  <c r="F8" i="27"/>
  <c r="F7" i="27"/>
  <c r="F6" i="27"/>
  <c r="F13" i="27" l="1"/>
  <c r="E42" i="27"/>
  <c r="E37" i="27"/>
  <c r="E38" i="27" s="1"/>
  <c r="E43" i="27" l="1"/>
  <c r="E39" i="5" l="1"/>
  <c r="D39" i="5"/>
  <c r="F39" i="5"/>
  <c r="G28" i="5"/>
  <c r="I23" i="12"/>
  <c r="I22" i="12"/>
  <c r="I21" i="12"/>
  <c r="I20" i="12"/>
  <c r="I19" i="12"/>
  <c r="K20" i="12" l="1"/>
  <c r="AV20" i="12" s="1"/>
  <c r="M20" i="12"/>
  <c r="O20" i="12" s="1"/>
  <c r="K23" i="12"/>
  <c r="AV23" i="12" s="1"/>
  <c r="M23" i="12"/>
  <c r="O23" i="12" s="1"/>
  <c r="K21" i="12"/>
  <c r="AV21" i="12" s="1"/>
  <c r="M21" i="12"/>
  <c r="O21" i="12" s="1"/>
  <c r="K22" i="12"/>
  <c r="M22" i="12"/>
  <c r="O22" i="12" s="1"/>
  <c r="K19" i="12"/>
  <c r="AV19" i="12" s="1"/>
  <c r="M19" i="12"/>
  <c r="O19" i="12" s="1"/>
  <c r="G39" i="5"/>
  <c r="J48" i="12"/>
  <c r="AV22" i="12" l="1"/>
  <c r="C24" i="5"/>
  <c r="O24" i="12"/>
  <c r="M24" i="12"/>
  <c r="K46" i="12"/>
  <c r="AV46" i="12" s="1"/>
  <c r="M10" i="12"/>
  <c r="Q10" i="12" l="1"/>
  <c r="K10" i="12"/>
  <c r="X10" i="12" s="1"/>
  <c r="C74" i="5"/>
  <c r="C75" i="5" s="1"/>
  <c r="AB10" i="12" l="1"/>
  <c r="AF10" i="12"/>
  <c r="M17" i="12"/>
  <c r="M25" i="12" s="1"/>
  <c r="O10" i="12"/>
  <c r="O17" i="12" s="1"/>
  <c r="O25" i="12" s="1"/>
  <c r="Q17" i="12"/>
  <c r="Q25" i="12" s="1"/>
  <c r="S10" i="12"/>
  <c r="S17" i="12" s="1"/>
  <c r="K17" i="12"/>
  <c r="AK10" i="12"/>
  <c r="Y10" i="12"/>
  <c r="X17" i="12"/>
  <c r="X25" i="12" s="1"/>
  <c r="X48" i="12" s="1"/>
  <c r="AS10" i="12" l="1"/>
  <c r="AO10" i="12"/>
  <c r="AF17" i="12"/>
  <c r="AF25" i="12" s="1"/>
  <c r="AF48" i="12" s="1"/>
  <c r="AG10" i="12"/>
  <c r="AG17" i="12" s="1"/>
  <c r="AB17" i="12"/>
  <c r="AB25" i="12" s="1"/>
  <c r="AB48" i="12" s="1"/>
  <c r="D45" i="5" s="1"/>
  <c r="AC10" i="12"/>
  <c r="AC17" i="12" s="1"/>
  <c r="AC25" i="12" s="1"/>
  <c r="AC48" i="12" s="1"/>
  <c r="S25" i="12"/>
  <c r="AK17" i="12"/>
  <c r="AK25" i="12" s="1"/>
  <c r="AK48" i="12" s="1"/>
  <c r="Y17" i="12"/>
  <c r="Y25" i="12" s="1"/>
  <c r="Y48" i="12" s="1"/>
  <c r="AL10" i="12"/>
  <c r="AP10" i="12" l="1"/>
  <c r="AQ10" i="12" s="1"/>
  <c r="AT10" i="12"/>
  <c r="AU10" i="12" s="1"/>
  <c r="AU17" i="12" s="1"/>
  <c r="AU25" i="12" s="1"/>
  <c r="AU48" i="12" s="1"/>
  <c r="E23" i="5" s="1"/>
  <c r="AO17" i="12"/>
  <c r="AO25" i="12" s="1"/>
  <c r="AO48" i="12" s="1"/>
  <c r="E56" i="5" s="1"/>
  <c r="AS17" i="12"/>
  <c r="AS25" i="12" s="1"/>
  <c r="AS48" i="12" s="1"/>
  <c r="AG25" i="12"/>
  <c r="AG48" i="12" s="1"/>
  <c r="D23" i="5" s="1"/>
  <c r="AL17" i="12"/>
  <c r="AL25" i="12" s="1"/>
  <c r="AL48" i="12" s="1"/>
  <c r="AM10" i="12"/>
  <c r="AM17" i="12" s="1"/>
  <c r="AM25" i="12" s="1"/>
  <c r="AM48" i="12" s="1"/>
  <c r="AP17" i="12" l="1"/>
  <c r="AP25" i="12" s="1"/>
  <c r="AP48" i="12" s="1"/>
  <c r="E45" i="5" s="1"/>
  <c r="G45" i="5" s="1"/>
  <c r="AT17" i="12"/>
  <c r="AT25" i="12" s="1"/>
  <c r="AT48" i="12" s="1"/>
  <c r="AV10" i="12"/>
  <c r="AV17" i="12" s="1"/>
  <c r="AQ17" i="12"/>
  <c r="AQ25" i="12" s="1"/>
  <c r="AQ48" i="12" s="1"/>
  <c r="F33" i="27"/>
  <c r="F78" i="5"/>
  <c r="F21" i="27" l="1"/>
  <c r="D12" i="17"/>
  <c r="B14" i="27" l="1"/>
  <c r="C20" i="5"/>
  <c r="I36" i="12" l="1"/>
  <c r="I37" i="12"/>
  <c r="I38" i="12"/>
  <c r="I39" i="12"/>
  <c r="I42" i="12"/>
  <c r="I43" i="12"/>
  <c r="I44" i="12"/>
  <c r="I35" i="12"/>
  <c r="I45" i="12" l="1"/>
  <c r="I40" i="12"/>
  <c r="K44" i="12"/>
  <c r="AV44" i="12" s="1"/>
  <c r="M44" i="12"/>
  <c r="O44" i="12" s="1"/>
  <c r="Q44" i="12"/>
  <c r="S44" i="12" s="1"/>
  <c r="K39" i="12"/>
  <c r="AV39" i="12" s="1"/>
  <c r="M39" i="12"/>
  <c r="O39" i="12" s="1"/>
  <c r="Q39" i="12"/>
  <c r="S39" i="12" s="1"/>
  <c r="K37" i="12"/>
  <c r="AV37" i="12" s="1"/>
  <c r="Q37" i="12"/>
  <c r="S37" i="12" s="1"/>
  <c r="M37" i="12"/>
  <c r="O37" i="12" s="1"/>
  <c r="K35" i="12"/>
  <c r="Q35" i="12"/>
  <c r="M35" i="12"/>
  <c r="K38" i="12"/>
  <c r="AV38" i="12" s="1"/>
  <c r="M38" i="12"/>
  <c r="O38" i="12" s="1"/>
  <c r="Q38" i="12"/>
  <c r="S38" i="12" s="1"/>
  <c r="K43" i="12"/>
  <c r="AV43" i="12" s="1"/>
  <c r="M43" i="12"/>
  <c r="O43" i="12" s="1"/>
  <c r="Q43" i="12"/>
  <c r="S43" i="12" s="1"/>
  <c r="K42" i="12"/>
  <c r="M42" i="12"/>
  <c r="Q42" i="12"/>
  <c r="K36" i="12"/>
  <c r="AV36" i="12" s="1"/>
  <c r="Q36" i="12"/>
  <c r="S36" i="12" s="1"/>
  <c r="M36" i="12"/>
  <c r="Q40" i="12" l="1"/>
  <c r="S42" i="12"/>
  <c r="S45" i="12" s="1"/>
  <c r="Q45" i="12"/>
  <c r="O42" i="12"/>
  <c r="O45" i="12" s="1"/>
  <c r="M45" i="12"/>
  <c r="AV42" i="12"/>
  <c r="AV45" i="12" s="1"/>
  <c r="K45" i="12"/>
  <c r="O35" i="12"/>
  <c r="M40" i="12"/>
  <c r="AV35" i="12"/>
  <c r="AV40" i="12" s="1"/>
  <c r="K40" i="12"/>
  <c r="O36" i="12"/>
  <c r="S35" i="12"/>
  <c r="S40" i="12" s="1"/>
  <c r="I30" i="12"/>
  <c r="I31" i="12"/>
  <c r="I28" i="12"/>
  <c r="I32" i="12"/>
  <c r="I29" i="12"/>
  <c r="O40" i="12" l="1"/>
  <c r="K28" i="12"/>
  <c r="AV28" i="12" s="1"/>
  <c r="Q28" i="12"/>
  <c r="M28" i="12"/>
  <c r="K30" i="12"/>
  <c r="AV30" i="12" s="1"/>
  <c r="Q30" i="12"/>
  <c r="S30" i="12" s="1"/>
  <c r="M30" i="12"/>
  <c r="O30" i="12" s="1"/>
  <c r="K29" i="12"/>
  <c r="AV29" i="12" s="1"/>
  <c r="Q29" i="12"/>
  <c r="S29" i="12" s="1"/>
  <c r="M29" i="12"/>
  <c r="O29" i="12" s="1"/>
  <c r="K32" i="12"/>
  <c r="Q32" i="12"/>
  <c r="S32" i="12" s="1"/>
  <c r="M32" i="12"/>
  <c r="O32" i="12" s="1"/>
  <c r="K31" i="12"/>
  <c r="AV31" i="12" s="1"/>
  <c r="Q31" i="12"/>
  <c r="S31" i="12" s="1"/>
  <c r="M31" i="12"/>
  <c r="O31" i="12" s="1"/>
  <c r="K33" i="12" l="1"/>
  <c r="K47" i="12" s="1"/>
  <c r="AV32" i="12"/>
  <c r="AV33" i="12" s="1"/>
  <c r="AV47" i="12" s="1"/>
  <c r="S28" i="12"/>
  <c r="S33" i="12" s="1"/>
  <c r="S47" i="12" s="1"/>
  <c r="Q33" i="12"/>
  <c r="Q47" i="12" s="1"/>
  <c r="O28" i="12"/>
  <c r="M33" i="12"/>
  <c r="M47" i="12" s="1"/>
  <c r="D71" i="5"/>
  <c r="D74" i="5"/>
  <c r="D75" i="5" s="1"/>
  <c r="Q48" i="12" l="1"/>
  <c r="S48" i="12"/>
  <c r="C23" i="5" s="1"/>
  <c r="M48" i="12"/>
  <c r="C56" i="5" s="1"/>
  <c r="O33" i="12"/>
  <c r="O47" i="12" s="1"/>
  <c r="G16" i="5"/>
  <c r="G13" i="5"/>
  <c r="B32" i="27" l="1"/>
  <c r="O48" i="12"/>
  <c r="C42" i="5"/>
  <c r="E71" i="5"/>
  <c r="D24" i="5" l="1"/>
  <c r="E24" i="5"/>
  <c r="C76" i="5"/>
  <c r="K24" i="12"/>
  <c r="AV24" i="12" s="1"/>
  <c r="AV25" i="12" s="1"/>
  <c r="AV48" i="12" s="1"/>
  <c r="G24" i="5" l="1"/>
  <c r="G24" i="12"/>
  <c r="F23" i="16" l="1"/>
  <c r="D30" i="17"/>
  <c r="D21" i="17"/>
  <c r="F25" i="16" l="1"/>
  <c r="F24" i="16"/>
  <c r="F20" i="16"/>
  <c r="F19" i="16"/>
  <c r="F18" i="16"/>
  <c r="F17" i="16"/>
  <c r="F11" i="16"/>
  <c r="F12" i="16"/>
  <c r="F13" i="16"/>
  <c r="F14" i="16"/>
  <c r="F15" i="16"/>
  <c r="F10" i="16"/>
  <c r="F26" i="16" l="1"/>
  <c r="J15" i="16"/>
  <c r="I15" i="16"/>
  <c r="J14" i="16"/>
  <c r="I14" i="16"/>
  <c r="J13" i="16"/>
  <c r="I13" i="16"/>
  <c r="J12" i="16"/>
  <c r="I12" i="16"/>
  <c r="J11" i="16"/>
  <c r="I11" i="16"/>
  <c r="J10" i="16"/>
  <c r="J16" i="16" s="1"/>
  <c r="I10" i="16"/>
  <c r="I16" i="16" s="1"/>
  <c r="C16" i="16"/>
  <c r="G15" i="5"/>
  <c r="C57" i="5" l="1"/>
  <c r="F34" i="16"/>
  <c r="F36" i="16"/>
  <c r="F30" i="16"/>
  <c r="F33" i="16"/>
  <c r="D26" i="16"/>
  <c r="F28" i="16"/>
  <c r="F31" i="16"/>
  <c r="F32" i="16"/>
  <c r="E26" i="16"/>
  <c r="F35" i="16"/>
  <c r="F37" i="16"/>
  <c r="E21" i="16"/>
  <c r="E38" i="16"/>
  <c r="D16" i="16"/>
  <c r="C21" i="16"/>
  <c r="C26" i="16"/>
  <c r="C38" i="16"/>
  <c r="E58" i="5" l="1"/>
  <c r="C58" i="5"/>
  <c r="E59" i="5"/>
  <c r="D59" i="5"/>
  <c r="C59" i="5"/>
  <c r="D57" i="5"/>
  <c r="E60" i="5"/>
  <c r="C39" i="16"/>
  <c r="C60" i="5"/>
  <c r="D38" i="16"/>
  <c r="D21" i="16"/>
  <c r="F29" i="16"/>
  <c r="C61" i="5" l="1"/>
  <c r="B34" i="27"/>
  <c r="C20" i="28"/>
  <c r="F38" i="16"/>
  <c r="D58" i="5"/>
  <c r="D60" i="5"/>
  <c r="C34" i="27" s="1"/>
  <c r="D39" i="16"/>
  <c r="F21" i="16"/>
  <c r="E16" i="16"/>
  <c r="F16" i="16"/>
  <c r="AJ33" i="12"/>
  <c r="AJ47" i="12" s="1"/>
  <c r="V33" i="12"/>
  <c r="V47" i="12" s="1"/>
  <c r="T33" i="12"/>
  <c r="T47" i="12" s="1"/>
  <c r="H33" i="12"/>
  <c r="H47" i="12" s="1"/>
  <c r="G33" i="12"/>
  <c r="G47" i="12" s="1"/>
  <c r="AJ24" i="12"/>
  <c r="E52" i="5" s="1"/>
  <c r="T24" i="12"/>
  <c r="V24" i="12"/>
  <c r="T17" i="12"/>
  <c r="T25" i="12" s="1"/>
  <c r="G17" i="12"/>
  <c r="G25" i="12" s="1"/>
  <c r="AJ17" i="12"/>
  <c r="V17" i="12"/>
  <c r="H17" i="12"/>
  <c r="G48" i="12" l="1"/>
  <c r="F39" i="16"/>
  <c r="D20" i="28"/>
  <c r="T48" i="12"/>
  <c r="G23" i="5" s="1"/>
  <c r="E57" i="5"/>
  <c r="D34" i="27" s="1"/>
  <c r="E39" i="16"/>
  <c r="E74" i="5"/>
  <c r="E75" i="5" s="1"/>
  <c r="I17" i="12"/>
  <c r="V25" i="12"/>
  <c r="AJ25" i="12"/>
  <c r="I33" i="12"/>
  <c r="I47" i="12" s="1"/>
  <c r="D30" i="27" l="1"/>
  <c r="C30" i="27"/>
  <c r="G54" i="5"/>
  <c r="V48" i="12"/>
  <c r="E16" i="28"/>
  <c r="D16" i="28"/>
  <c r="E20" i="28"/>
  <c r="D18" i="27"/>
  <c r="C18" i="27"/>
  <c r="AJ48" i="12"/>
  <c r="K25" i="12"/>
  <c r="B18" i="27" l="1"/>
  <c r="F18" i="27" s="1"/>
  <c r="D76" i="5"/>
  <c r="E76" i="5"/>
  <c r="F31" i="27"/>
  <c r="H17" i="28"/>
  <c r="F34" i="27"/>
  <c r="H20" i="28"/>
  <c r="C32" i="5"/>
  <c r="K48" i="12"/>
  <c r="D25" i="28" l="1"/>
  <c r="G76" i="5"/>
  <c r="E25" i="28"/>
  <c r="C25" i="28"/>
  <c r="C12" i="28"/>
  <c r="D32" i="27"/>
  <c r="C32" i="27"/>
  <c r="I24" i="12"/>
  <c r="I25" i="12" s="1"/>
  <c r="I48" i="12" s="1"/>
  <c r="H24" i="12"/>
  <c r="H25" i="28" l="1"/>
  <c r="B30" i="27"/>
  <c r="F30" i="27" s="1"/>
  <c r="E18" i="28"/>
  <c r="D35" i="27"/>
  <c r="D61" i="5"/>
  <c r="D18" i="28"/>
  <c r="C35" i="27"/>
  <c r="H25" i="12"/>
  <c r="H48" i="12" s="1"/>
  <c r="C16" i="28" l="1"/>
  <c r="H16" i="28" s="1"/>
  <c r="E17" i="5"/>
  <c r="D41" i="5"/>
  <c r="E40" i="5" l="1"/>
  <c r="D10" i="27"/>
  <c r="E41" i="5"/>
  <c r="D20" i="5"/>
  <c r="E20" i="5"/>
  <c r="C14" i="27"/>
  <c r="G56" i="5"/>
  <c r="C18" i="28"/>
  <c r="G29" i="5"/>
  <c r="D14" i="27" l="1"/>
  <c r="D15" i="27"/>
  <c r="D24" i="27"/>
  <c r="D37" i="27" s="1"/>
  <c r="D38" i="27" s="1"/>
  <c r="G40" i="5"/>
  <c r="F10" i="27"/>
  <c r="F32" i="27"/>
  <c r="F35" i="27" s="1"/>
  <c r="B35" i="27"/>
  <c r="H18" i="28"/>
  <c r="C24" i="27"/>
  <c r="F32" i="5"/>
  <c r="F15" i="27" l="1"/>
  <c r="F14" i="27"/>
  <c r="F20" i="27"/>
  <c r="C37" i="27"/>
  <c r="C38" i="27" s="1"/>
  <c r="AZ12" i="12"/>
  <c r="AZ14" i="12"/>
  <c r="AZ15" i="12"/>
  <c r="AY10" i="12"/>
  <c r="AY11" i="12"/>
  <c r="AY12" i="12"/>
  <c r="AY13" i="12"/>
  <c r="AY14" i="12"/>
  <c r="AY15" i="12"/>
  <c r="AY16" i="12"/>
  <c r="BA14" i="12" l="1"/>
  <c r="BA15" i="12"/>
  <c r="AY17" i="12"/>
  <c r="BA12" i="12"/>
  <c r="AZ10" i="12"/>
  <c r="BA10" i="12" s="1"/>
  <c r="AZ11" i="12"/>
  <c r="BA11" i="12" s="1"/>
  <c r="AZ13" i="12"/>
  <c r="BA13" i="12" s="1"/>
  <c r="AZ16" i="12" l="1"/>
  <c r="BA16" i="12" s="1"/>
  <c r="BA17" i="12" s="1"/>
  <c r="AZ17" i="12" l="1"/>
  <c r="G74" i="5" l="1"/>
  <c r="G57" i="5" l="1"/>
  <c r="G17" i="5" l="1"/>
  <c r="G20" i="5" s="1"/>
  <c r="H63" i="5" l="1"/>
  <c r="H66" i="5"/>
  <c r="F71" i="5" l="1"/>
  <c r="F76" i="5" s="1"/>
  <c r="F80" i="5" s="1"/>
  <c r="G59" i="5" l="1"/>
  <c r="C43" i="5" l="1"/>
  <c r="C47" i="5" s="1"/>
  <c r="B27" i="27" l="1"/>
  <c r="C66" i="5"/>
  <c r="E32" i="5"/>
  <c r="E12" i="28" s="1"/>
  <c r="D32" i="5"/>
  <c r="D12" i="28" s="1"/>
  <c r="G51" i="5"/>
  <c r="F43" i="5"/>
  <c r="B40" i="27" l="1"/>
  <c r="C48" i="5"/>
  <c r="H12" i="28"/>
  <c r="C63" i="5"/>
  <c r="C64" i="5" s="1"/>
  <c r="G71" i="5" l="1"/>
  <c r="D38" i="5"/>
  <c r="E38" i="5"/>
  <c r="F38" i="5"/>
  <c r="G27" i="5"/>
  <c r="G26" i="5"/>
  <c r="G30" i="5"/>
  <c r="G25" i="5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35" i="6"/>
  <c r="J27" i="6"/>
  <c r="J28" i="6"/>
  <c r="J29" i="6"/>
  <c r="J30" i="6"/>
  <c r="J31" i="6"/>
  <c r="J32" i="6"/>
  <c r="J33" i="6"/>
  <c r="J34" i="6"/>
  <c r="J26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66" i="6"/>
  <c r="J67" i="6"/>
  <c r="J65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6" i="6"/>
  <c r="G38" i="5" l="1"/>
  <c r="G32" i="5"/>
  <c r="G36" i="5"/>
  <c r="F63" i="5" l="1"/>
  <c r="F64" i="5" s="1"/>
  <c r="G52" i="5"/>
  <c r="G53" i="5"/>
  <c r="G58" i="5"/>
  <c r="G60" i="5"/>
  <c r="G61" i="5" l="1"/>
  <c r="F68" i="5"/>
  <c r="F79" i="5" s="1"/>
  <c r="E61" i="5" l="1"/>
  <c r="G41" i="5" l="1"/>
  <c r="D42" i="5"/>
  <c r="D46" i="5"/>
  <c r="C46" i="5"/>
  <c r="E46" i="5"/>
  <c r="D35" i="5"/>
  <c r="E42" i="5"/>
  <c r="E35" i="5"/>
  <c r="D43" i="5" l="1"/>
  <c r="D47" i="5" s="1"/>
  <c r="G42" i="5"/>
  <c r="E43" i="5"/>
  <c r="E47" i="5" s="1"/>
  <c r="D27" i="27" s="1"/>
  <c r="G46" i="5"/>
  <c r="G35" i="5"/>
  <c r="D48" i="5" l="1"/>
  <c r="C27" i="27"/>
  <c r="F27" i="27" s="1"/>
  <c r="G43" i="5"/>
  <c r="E48" i="5"/>
  <c r="G47" i="5"/>
  <c r="G48" i="5" s="1"/>
  <c r="E15" i="28"/>
  <c r="E21" i="28" s="1"/>
  <c r="E23" i="28" s="1"/>
  <c r="D40" i="27"/>
  <c r="D42" i="27" s="1"/>
  <c r="D43" i="27" s="1"/>
  <c r="E63" i="5"/>
  <c r="E64" i="5" s="1"/>
  <c r="D63" i="5"/>
  <c r="D64" i="5" s="1"/>
  <c r="C40" i="27" l="1"/>
  <c r="C42" i="27" s="1"/>
  <c r="C43" i="27" s="1"/>
  <c r="F40" i="27"/>
  <c r="G66" i="5" l="1"/>
  <c r="G68" i="5" s="1"/>
  <c r="G63" i="5"/>
  <c r="G64" i="5" s="1"/>
  <c r="G69" i="5" l="1"/>
  <c r="C15" i="28"/>
  <c r="C21" i="28" l="1"/>
  <c r="D15" i="28"/>
  <c r="D21" i="28" s="1"/>
  <c r="D23" i="28" s="1"/>
  <c r="C68" i="5"/>
  <c r="D66" i="5"/>
  <c r="D68" i="5" s="1"/>
  <c r="E66" i="5"/>
  <c r="E68" i="5" s="1"/>
  <c r="D81" i="5" l="1"/>
  <c r="E81" i="5"/>
  <c r="C81" i="5"/>
  <c r="C80" i="5"/>
  <c r="C79" i="5"/>
  <c r="F85" i="5"/>
  <c r="F87" i="5" s="1"/>
  <c r="D79" i="5"/>
  <c r="D80" i="5"/>
  <c r="E79" i="5"/>
  <c r="E80" i="5"/>
  <c r="E78" i="5"/>
  <c r="D78" i="5"/>
  <c r="C78" i="5"/>
  <c r="D69" i="5"/>
  <c r="E69" i="5"/>
  <c r="C23" i="28"/>
  <c r="H23" i="28" s="1"/>
  <c r="H21" i="28"/>
  <c r="H15" i="28"/>
  <c r="C69" i="5"/>
  <c r="C82" i="5" l="1"/>
  <c r="G80" i="5"/>
  <c r="G79" i="5"/>
  <c r="G81" i="5"/>
  <c r="E82" i="5"/>
  <c r="D82" i="5"/>
  <c r="G78" i="5"/>
  <c r="G82" i="5" l="1"/>
  <c r="C47" i="27"/>
  <c r="D47" i="27"/>
  <c r="B45" i="27"/>
  <c r="C45" i="27"/>
  <c r="D45" i="27"/>
  <c r="C26" i="28"/>
  <c r="E26" i="28"/>
  <c r="D26" i="28"/>
  <c r="B47" i="27" l="1"/>
  <c r="F47" i="27" s="1"/>
  <c r="F45" i="27"/>
  <c r="H26" i="28"/>
  <c r="E28" i="28"/>
  <c r="C28" i="28"/>
  <c r="D28" i="28"/>
  <c r="H28" i="28" l="1"/>
  <c r="B24" i="27"/>
  <c r="B37" i="27" l="1"/>
  <c r="B42" i="27"/>
  <c r="F22" i="27"/>
  <c r="F24" i="27" s="1"/>
  <c r="F37" i="27" s="1"/>
  <c r="B38" i="27" l="1"/>
  <c r="B43" i="27"/>
  <c r="F38" i="27"/>
  <c r="F42" i="27"/>
  <c r="F43" i="27" s="1"/>
</calcChain>
</file>

<file path=xl/sharedStrings.xml><?xml version="1.0" encoding="utf-8"?>
<sst xmlns="http://schemas.openxmlformats.org/spreadsheetml/2006/main" count="1003" uniqueCount="699">
  <si>
    <t>Full Year</t>
  </si>
  <si>
    <t>Other</t>
  </si>
  <si>
    <t>Anesthesiology</t>
  </si>
  <si>
    <t>Comprehensive Cancer Center</t>
  </si>
  <si>
    <t>Clinical Affairs</t>
  </si>
  <si>
    <t>Child Study Center</t>
  </si>
  <si>
    <t>Dermatology</t>
  </si>
  <si>
    <t>Radiology and Biomedical Imaging</t>
  </si>
  <si>
    <t>Emergency Medicine</t>
  </si>
  <si>
    <t>Genetics</t>
  </si>
  <si>
    <t>Internal Medicine</t>
  </si>
  <si>
    <t>Laboratory Medicine</t>
  </si>
  <si>
    <t>Neurology</t>
  </si>
  <si>
    <t>Neurosurgery</t>
  </si>
  <si>
    <t>Obstetrics &amp; Gynecology</t>
  </si>
  <si>
    <t>Ophthalmology and Visual Science</t>
  </si>
  <si>
    <t>Orthopaedics and Rehabilitation</t>
  </si>
  <si>
    <t>Pathology</t>
  </si>
  <si>
    <t>Pediatrics</t>
  </si>
  <si>
    <t>Psychiatry</t>
  </si>
  <si>
    <t>Surgery</t>
  </si>
  <si>
    <t>Therapeutic Radiology</t>
  </si>
  <si>
    <t>Urology</t>
  </si>
  <si>
    <t>Year 1</t>
  </si>
  <si>
    <t>Year 2</t>
  </si>
  <si>
    <t>Year 3</t>
  </si>
  <si>
    <t>Total</t>
  </si>
  <si>
    <t>Rates</t>
  </si>
  <si>
    <t xml:space="preserve">Yale Medicine Administration </t>
  </si>
  <si>
    <t xml:space="preserve">Dean's PFS </t>
  </si>
  <si>
    <t>Total Assessments</t>
  </si>
  <si>
    <t>Total Assessment Percentage as a % of Revenue</t>
  </si>
  <si>
    <t>Faculty Salaries</t>
  </si>
  <si>
    <t>Faculty Incentive Compensation/Bonus</t>
  </si>
  <si>
    <t>Fringe</t>
  </si>
  <si>
    <t>Space/Sessions</t>
  </si>
  <si>
    <t>Malpractice</t>
  </si>
  <si>
    <t>Program Development/Direction Support</t>
  </si>
  <si>
    <t>Applicable Assessments</t>
  </si>
  <si>
    <t>Revenue Grand Total</t>
  </si>
  <si>
    <t>Contribution Margin (Revenue less Direct Cost)</t>
  </si>
  <si>
    <t>Expense Grand Total</t>
  </si>
  <si>
    <t>Start in Q1</t>
  </si>
  <si>
    <t>Start in Q2</t>
  </si>
  <si>
    <t>Start in Q3</t>
  </si>
  <si>
    <t>Start in Q4</t>
  </si>
  <si>
    <t>Start in July</t>
  </si>
  <si>
    <t>Start in Sept.</t>
  </si>
  <si>
    <t>Start in Aug.</t>
  </si>
  <si>
    <t>Start in Oct.</t>
  </si>
  <si>
    <t>Start in Nov.</t>
  </si>
  <si>
    <t>Start in Dec.</t>
  </si>
  <si>
    <t>Start in Jan.</t>
  </si>
  <si>
    <t>Start in Feb.</t>
  </si>
  <si>
    <t>Start in Mar.</t>
  </si>
  <si>
    <t>Start in Apr.</t>
  </si>
  <si>
    <t>Start in May</t>
  </si>
  <si>
    <t>Start in June</t>
  </si>
  <si>
    <t>Notes</t>
  </si>
  <si>
    <t>Contribution Margin (%)</t>
  </si>
  <si>
    <t>Net Margin (%)</t>
  </si>
  <si>
    <t>PDDO Template Definitions:</t>
  </si>
  <si>
    <t>Category</t>
  </si>
  <si>
    <t>Definition</t>
  </si>
  <si>
    <t>Volume</t>
  </si>
  <si>
    <t>wRVUs</t>
  </si>
  <si>
    <t>UHC RVUs</t>
  </si>
  <si>
    <t>Units</t>
  </si>
  <si>
    <t>Time Units</t>
  </si>
  <si>
    <t>Visits</t>
  </si>
  <si>
    <t>Cases</t>
  </si>
  <si>
    <t>Other (Please Explain in Notes)</t>
  </si>
  <si>
    <t>Collections per Volume Metric</t>
  </si>
  <si>
    <t>YM Multi-Specialty Clinics</t>
  </si>
  <si>
    <t>Total Net Income before Applicable PDDO Assessments</t>
  </si>
  <si>
    <t>Mission Assessment</t>
  </si>
  <si>
    <t>YNHH Direct Salary and Fringe Benefit Support</t>
  </si>
  <si>
    <t># of Faculty</t>
  </si>
  <si>
    <t>Contractual</t>
  </si>
  <si>
    <t>Salary Support</t>
  </si>
  <si>
    <t>Administration</t>
  </si>
  <si>
    <t>Aids</t>
  </si>
  <si>
    <t>Cardiology</t>
  </si>
  <si>
    <t>Clinical Scholars</t>
  </si>
  <si>
    <t>Digestive Diseases</t>
  </si>
  <si>
    <t>Education</t>
  </si>
  <si>
    <t>Endocrinology</t>
  </si>
  <si>
    <t>General Medicine</t>
  </si>
  <si>
    <t>Geriatrics</t>
  </si>
  <si>
    <t>Immunology</t>
  </si>
  <si>
    <t>Infectious Diseases</t>
  </si>
  <si>
    <t>Global Health</t>
  </si>
  <si>
    <t>Nephrology</t>
  </si>
  <si>
    <t>Occupational Medicine</t>
  </si>
  <si>
    <t>Pulmonary</t>
  </si>
  <si>
    <t>Research Affairs</t>
  </si>
  <si>
    <t>Rheumatology</t>
  </si>
  <si>
    <t>Stem Cell Center</t>
  </si>
  <si>
    <t>PA Program</t>
  </si>
  <si>
    <t>Section of Cardiac Surgery</t>
  </si>
  <si>
    <t>Medical Education</t>
  </si>
  <si>
    <t>Oncology</t>
  </si>
  <si>
    <t>Otolaryngology</t>
  </si>
  <si>
    <t>Plastic</t>
  </si>
  <si>
    <t>Section of Thoracic Surgery</t>
  </si>
  <si>
    <t>Gross Anatomy</t>
  </si>
  <si>
    <t>Neuropathology</t>
  </si>
  <si>
    <t>Surgical Outcomes</t>
  </si>
  <si>
    <t>Transplant</t>
  </si>
  <si>
    <t>Trauma</t>
  </si>
  <si>
    <t>Vascular</t>
  </si>
  <si>
    <t>Chairman</t>
  </si>
  <si>
    <t>Billing</t>
  </si>
  <si>
    <t>Endocrine Surgery</t>
  </si>
  <si>
    <t>Gastrointestinal</t>
  </si>
  <si>
    <t>Stem Cell Ctr</t>
  </si>
  <si>
    <t>Community Physicians</t>
  </si>
  <si>
    <t>Perinatology</t>
  </si>
  <si>
    <t>Reproductive Sciences</t>
  </si>
  <si>
    <t>Teaching</t>
  </si>
  <si>
    <t>Urogynecology</t>
  </si>
  <si>
    <t>Family Planning</t>
  </si>
  <si>
    <t>Hematology / Oncology</t>
  </si>
  <si>
    <t>Gastroenterology</t>
  </si>
  <si>
    <t>Emergency Dept</t>
  </si>
  <si>
    <t>Infectious Disease</t>
  </si>
  <si>
    <t>General Pediatrics</t>
  </si>
  <si>
    <t>Respiratory</t>
  </si>
  <si>
    <t>Neonatology</t>
  </si>
  <si>
    <t>Adolescent Medicine</t>
  </si>
  <si>
    <t>Critical Care</t>
  </si>
  <si>
    <t>Hospitalist</t>
  </si>
  <si>
    <t>Pedi Epilepsy</t>
  </si>
  <si>
    <t>International Adoption</t>
  </si>
  <si>
    <t>DBP Developmental Behavior Ped</t>
  </si>
  <si>
    <t>Stem Cell CTR</t>
  </si>
  <si>
    <t>Replacement</t>
  </si>
  <si>
    <t>Acquisition</t>
  </si>
  <si>
    <t>New Hire - Organic</t>
  </si>
  <si>
    <t>New Program (not acquired)</t>
  </si>
  <si>
    <t>N/A</t>
  </si>
  <si>
    <t xml:space="preserve">&lt;-----Please Select Identifying Information </t>
  </si>
  <si>
    <t>&lt;-----Please Select Type</t>
  </si>
  <si>
    <t>YNHH Contractual</t>
  </si>
  <si>
    <t>Other Contractual</t>
  </si>
  <si>
    <t>Volume per Revenue-generating cFTE</t>
  </si>
  <si>
    <t>Collections per Revenue-generating cFTE</t>
  </si>
  <si>
    <r>
      <t>Revenue-generating Clinical FTE</t>
    </r>
    <r>
      <rPr>
        <vertAlign val="superscript"/>
        <sz val="12"/>
        <rFont val="Times New Roman"/>
        <family val="1"/>
      </rPr>
      <t>1</t>
    </r>
  </si>
  <si>
    <t>Gifts</t>
  </si>
  <si>
    <t>Other Revenue (non-taxable)</t>
  </si>
  <si>
    <t>60%/85%/100%</t>
  </si>
  <si>
    <t>50%/75%/100%</t>
  </si>
  <si>
    <t>No Ramp Up</t>
  </si>
  <si>
    <t>Revenue/Volume Metrics:</t>
  </si>
  <si>
    <t>Revenue-Generating cFTE</t>
  </si>
  <si>
    <t>Medical &amp; Surgical Supplies</t>
  </si>
  <si>
    <t>M&amp;P Staffing</t>
  </si>
  <si>
    <t>C&amp;T Staffing</t>
  </si>
  <si>
    <t>Position</t>
  </si>
  <si>
    <t xml:space="preserve">Associate Professor </t>
  </si>
  <si>
    <t xml:space="preserve">Professor </t>
  </si>
  <si>
    <t xml:space="preserve">Clinician </t>
  </si>
  <si>
    <t>Assisstant Professor</t>
  </si>
  <si>
    <t xml:space="preserve">1) Please adjust for FTE. </t>
  </si>
  <si>
    <t xml:space="preserve">Total Faculty Staffing </t>
  </si>
  <si>
    <t>Costs</t>
  </si>
  <si>
    <t>Type of Position/Name</t>
  </si>
  <si>
    <t>Total M&amp;P Staffing</t>
  </si>
  <si>
    <t>Grand Total Staffing</t>
  </si>
  <si>
    <t>Overtime (if applicable)</t>
  </si>
  <si>
    <t>Total Faculty Salaries</t>
  </si>
  <si>
    <t>Total Support Staff Costs</t>
  </si>
  <si>
    <t>Total C&amp;T Staffing</t>
  </si>
  <si>
    <t>1) Expected Volume-generating cFTE (total of all physicians or for one individual).</t>
  </si>
  <si>
    <t>Instructor</t>
  </si>
  <si>
    <t>A backstop from YNHH with a unique set of assessments; will populate the assessments on PDDO section at the bottom of the document.</t>
  </si>
  <si>
    <t>Type</t>
  </si>
  <si>
    <t>New Program (Not Acquired)</t>
  </si>
  <si>
    <t>Catch-all.</t>
  </si>
  <si>
    <t>A replacement for an existing faculty position.</t>
  </si>
  <si>
    <t>Acquisition of a new practice or physician.</t>
  </si>
  <si>
    <t>A new hire due to organic growth (clinic volume growth in existing service/clinic, etc.)</t>
  </si>
  <si>
    <t>A new program being built from the ground up.</t>
  </si>
  <si>
    <t>Ramp-Up Methodology</t>
  </si>
  <si>
    <t xml:space="preserve">For clinical business plans, please select the volume metric you are using. The standard is wRVU. </t>
  </si>
  <si>
    <t xml:space="preserve">Physical bodies associated with the plan. For example, if there is support for 1.6 cFTE which is comprised of two individuals, the number of faculty is two. </t>
  </si>
  <si>
    <t>A metric to show expected productivity per cFTE. Should be aligned with ramp-up.</t>
  </si>
  <si>
    <t>A metric to show expected collections per cFTE. Should be aligned with ramp-up.</t>
  </si>
  <si>
    <t>A metric to show expected collections on a per unit basis.</t>
  </si>
  <si>
    <t>Typically, medical director support for salary and fringe. The original version will auto-calculate based on the salary build sheet.</t>
  </si>
  <si>
    <t>Contractual arrangements in which YNHH is not the other entity.</t>
  </si>
  <si>
    <t xml:space="preserve">A catch-all for other revenue. </t>
  </si>
  <si>
    <t>Contributions made to a University entity; has assessment implications.</t>
  </si>
  <si>
    <t>FY 2023</t>
  </si>
  <si>
    <t>FY 2024</t>
  </si>
  <si>
    <t>FY 2025</t>
  </si>
  <si>
    <t>Notes:</t>
  </si>
  <si>
    <t>C&amp;T</t>
  </si>
  <si>
    <t>Incentive</t>
  </si>
  <si>
    <t>Lag</t>
  </si>
  <si>
    <t>Assumptions Impacting YSM-YM Business Plan</t>
  </si>
  <si>
    <t>Contractual arrangements in which YNHH is the other entity (includes on-call).</t>
  </si>
  <si>
    <t>Represents 45 day collection lag</t>
  </si>
  <si>
    <t>Medical Director</t>
  </si>
  <si>
    <t>Faculty Staffing</t>
  </si>
  <si>
    <t>&lt;-----Please Select  Department</t>
  </si>
  <si>
    <t>&lt;-----Please Select  Department Section (if applicable)</t>
  </si>
  <si>
    <r>
      <t>Expenses</t>
    </r>
    <r>
      <rPr>
        <b/>
        <u/>
        <vertAlign val="superscript"/>
        <sz val="12"/>
        <rFont val="Times New Roman"/>
        <family val="1"/>
      </rPr>
      <t>2</t>
    </r>
  </si>
  <si>
    <t>Other Revenue (non-taxable) - Use for Dept. Support</t>
  </si>
  <si>
    <t>Other Applicable Costs</t>
  </si>
  <si>
    <t>Total Expenses</t>
  </si>
  <si>
    <t>Collections (Based on Full Year)</t>
  </si>
  <si>
    <t>One-Time</t>
  </si>
  <si>
    <t>Ongoing</t>
  </si>
  <si>
    <t>VA Funding (Eigths)</t>
  </si>
  <si>
    <t>Year One</t>
  </si>
  <si>
    <t>Year Two</t>
  </si>
  <si>
    <t>Year Three</t>
  </si>
  <si>
    <t>Physician Incentives Subtotal</t>
  </si>
  <si>
    <t xml:space="preserve">Total </t>
  </si>
  <si>
    <t>Cumulative</t>
  </si>
  <si>
    <t>Salary Build Plan</t>
  </si>
  <si>
    <t>Fixed formula double counting incentive compensation</t>
  </si>
  <si>
    <t>Fixed ongoing versus on-time incentive compensation</t>
  </si>
  <si>
    <t>Added non-salary build sheet</t>
  </si>
  <si>
    <t xml:space="preserve">Added additional lines for incentive compensation </t>
  </si>
  <si>
    <t>Added YNHH Contractual to bottom of template to calculate appropriate YNHH commitment</t>
  </si>
  <si>
    <t xml:space="preserve"> </t>
  </si>
  <si>
    <t>Non-Salary Build Plan</t>
  </si>
  <si>
    <t>Total Space/Sessions</t>
  </si>
  <si>
    <t>Medical/Surgical Supplies</t>
  </si>
  <si>
    <t>ITS</t>
  </si>
  <si>
    <t>Telcom</t>
  </si>
  <si>
    <t>Grand Total Non-Salary Costs</t>
  </si>
  <si>
    <t>Other Applicable Costs Total</t>
  </si>
  <si>
    <t>Medical/Surgical Supplies Total</t>
  </si>
  <si>
    <t>Malpractice Total</t>
  </si>
  <si>
    <t xml:space="preserve">Space </t>
  </si>
  <si>
    <t>I&amp;A</t>
  </si>
  <si>
    <t xml:space="preserve">Added I&amp;A Calculator and term/interest rate information </t>
  </si>
  <si>
    <t>Version Notes:</t>
  </si>
  <si>
    <t>Principle</t>
  </si>
  <si>
    <t>Int Rate</t>
  </si>
  <si>
    <t>Term-Yrs</t>
  </si>
  <si>
    <t>Annual I&amp;A</t>
  </si>
  <si>
    <t>Building Purchase</t>
  </si>
  <si>
    <t>Term</t>
  </si>
  <si>
    <t>Building Renovation</t>
  </si>
  <si>
    <t>15-20</t>
  </si>
  <si>
    <t>Type of Project</t>
  </si>
  <si>
    <t>Furniture</t>
  </si>
  <si>
    <t>I&amp;A Calculator to Support Template</t>
  </si>
  <si>
    <t>Computers</t>
  </si>
  <si>
    <t>Office/General Supplies</t>
  </si>
  <si>
    <t>Travel</t>
  </si>
  <si>
    <t>Uniforms</t>
  </si>
  <si>
    <t>Insert as necessary</t>
  </si>
  <si>
    <t>Broke out salary build sheet by year (removed inflationary components)</t>
  </si>
  <si>
    <t>Physician Incentive</t>
  </si>
  <si>
    <t xml:space="preserve">One-Time Incentive </t>
  </si>
  <si>
    <t>Moving/Relocation Bonus</t>
  </si>
  <si>
    <t xml:space="preserve">Ongoing Incentive </t>
  </si>
  <si>
    <t>YNHH Metric-Based</t>
  </si>
  <si>
    <t>YNHH Not Metric-Based</t>
  </si>
  <si>
    <t>Ongoing payment(s) funded by Yale University</t>
  </si>
  <si>
    <t>One-time payment(s) funded by Yale University</t>
  </si>
  <si>
    <t xml:space="preserve">Payment(s) funded by Yale University related to relocation </t>
  </si>
  <si>
    <t>YNHH funded performance fund not tied to metrics (i.e. must pay 18% YSM overhead)</t>
  </si>
  <si>
    <t>YNHH funded performance funds paid on-going and based on achievement of metrics and goals (i.e. no YNHH YSM overhead)</t>
  </si>
  <si>
    <t>Programmed new incentive compensation categories</t>
  </si>
  <si>
    <t>---&gt; selecting a YNHH category populates both revenue and expense</t>
  </si>
  <si>
    <t xml:space="preserve">Radiology and Biomedical Imaging - Interventional </t>
  </si>
  <si>
    <t>Radiology and Biomedical Imaging - Body Imaging</t>
  </si>
  <si>
    <t>Radiology and Biomedical Imaging - Thoracic/Cardiac</t>
  </si>
  <si>
    <t>Radiology and Biomedical Imaging - Emergency Medicine</t>
  </si>
  <si>
    <t>Radiology and Biomedical Imaging - Breast Imaging</t>
  </si>
  <si>
    <t>Radiology and Biomedical Imaging - Musculoskeletal</t>
  </si>
  <si>
    <t>Radiology and Biomedical Imaging - Neuro</t>
  </si>
  <si>
    <t>Radiology and Biomedical Imaging - Nuclear Medicine</t>
  </si>
  <si>
    <t>Radiology and Biomedical Imaging - Pediatrics</t>
  </si>
  <si>
    <t>Radiology and Biomedical Imaging - Ultrasound</t>
  </si>
  <si>
    <t>FY 2026</t>
  </si>
  <si>
    <t>FY 2027</t>
  </si>
  <si>
    <t>Updated fringe and assumptions based on the FY 2019 budget instructions</t>
  </si>
  <si>
    <t>Grant Indirects moved to bottom of the document as to not impact net income or YNHH payment (dollars go directly to YSM)</t>
  </si>
  <si>
    <t>C&amp;T - Grants</t>
  </si>
  <si>
    <t>M&amp;P/Faculty - Grants</t>
  </si>
  <si>
    <t>Grant</t>
  </si>
  <si>
    <t>Funded?</t>
  </si>
  <si>
    <t>Yes</t>
  </si>
  <si>
    <t>No</t>
  </si>
  <si>
    <t>Grant fringe rates programmed into the template on the salary build sheet (column D)</t>
  </si>
  <si>
    <t>Rank</t>
  </si>
  <si>
    <t>CLINICAL SCIENCE - TOTAL ALL DEPARTMENTS/SPECIALTIES</t>
  </si>
  <si>
    <t>25th</t>
  </si>
  <si>
    <t>Total Anesthesiology</t>
  </si>
  <si>
    <t>Median</t>
  </si>
  <si>
    <t>Assistant Professor</t>
  </si>
  <si>
    <t>Anesthesiology: General</t>
  </si>
  <si>
    <t>75th</t>
  </si>
  <si>
    <t>Associate Professor</t>
  </si>
  <si>
    <t>Anesthesiology: Pain Management</t>
  </si>
  <si>
    <t>Mean</t>
  </si>
  <si>
    <t>Professor</t>
  </si>
  <si>
    <t>Anesthesiology: Pediatric</t>
  </si>
  <si>
    <t>Total Dermatology</t>
  </si>
  <si>
    <t>Chair</t>
  </si>
  <si>
    <t>Dermatology (excluding Mohs Surgery)</t>
  </si>
  <si>
    <t>Dermatology: Mohs Surgery</t>
  </si>
  <si>
    <t>Total Family Medicine</t>
  </si>
  <si>
    <t>Family Medicine: General</t>
  </si>
  <si>
    <t>Family Medicine: Sports Medicine</t>
  </si>
  <si>
    <t>Family Medicine: Other</t>
  </si>
  <si>
    <t>Total Medicine</t>
  </si>
  <si>
    <t>Allergy/Immunology-Med.</t>
  </si>
  <si>
    <t>Cardiology: Total</t>
  </si>
  <si>
    <t>Cardiology: Invasive Interventional-Med.</t>
  </si>
  <si>
    <t>Cardiology: Invasive Non-interventional-Med.</t>
  </si>
  <si>
    <t>Cardiology: Non-invasive-Med.</t>
  </si>
  <si>
    <t>Critical/Intensive Care-Med.</t>
  </si>
  <si>
    <t>Endocrinology-Med.</t>
  </si>
  <si>
    <t>Gastroenterology-Med.</t>
  </si>
  <si>
    <t>General Internal Medicine</t>
  </si>
  <si>
    <t>Geriatrics-Med.</t>
  </si>
  <si>
    <t>Hematology/Oncology-Med.</t>
  </si>
  <si>
    <t>Hospital Medicine</t>
  </si>
  <si>
    <t>Infectious Disease-Med.</t>
  </si>
  <si>
    <t>Nephrology-Med.</t>
  </si>
  <si>
    <t>Pulmonary-Med.</t>
  </si>
  <si>
    <t>Rheumatology-Med.</t>
  </si>
  <si>
    <t>Other Medicine</t>
  </si>
  <si>
    <t>Total OB/GYN</t>
  </si>
  <si>
    <t>OB/GYN: General</t>
  </si>
  <si>
    <t>OB/GYN: Gynecologic Oncology</t>
  </si>
  <si>
    <t>OB/GYN: Maternal &amp; Fetal</t>
  </si>
  <si>
    <t>OB/GYN: Reproductive Endocrinology</t>
  </si>
  <si>
    <t>OB/GYN: Other OB/GYN</t>
  </si>
  <si>
    <t>Total Pathology</t>
  </si>
  <si>
    <t>Pathology: Anatomic</t>
  </si>
  <si>
    <t>Pathology: Clinical</t>
  </si>
  <si>
    <t>Pathology: Other Pathology</t>
  </si>
  <si>
    <t>Total Pediatrics</t>
  </si>
  <si>
    <t>Allergy/Immunology-Peds.</t>
  </si>
  <si>
    <t>Critical/Intensive Care-Peds.</t>
  </si>
  <si>
    <t>Emergency Medicine-Peds.</t>
  </si>
  <si>
    <t>Endocrinology-Peds.</t>
  </si>
  <si>
    <t>Gastroenterology-Peds.</t>
  </si>
  <si>
    <t>Genetics-Peds.</t>
  </si>
  <si>
    <t>Hematology/Oncology-Peds.</t>
  </si>
  <si>
    <t>Hospital Medicine-Peds.</t>
  </si>
  <si>
    <t>Infectious Disease-Peds.</t>
  </si>
  <si>
    <t>Nephrology-Peds.</t>
  </si>
  <si>
    <t>Neurology-Peds.</t>
  </si>
  <si>
    <t>Pediatric Cardiology</t>
  </si>
  <si>
    <t>Pulmonary-Peds.</t>
  </si>
  <si>
    <t>Rheumatology-Peds.</t>
  </si>
  <si>
    <t>Other Pediatrics</t>
  </si>
  <si>
    <t>Total Psychiatry</t>
  </si>
  <si>
    <t>Psychiatry: Child &amp; Adolescent</t>
  </si>
  <si>
    <t>Psychiatry: General</t>
  </si>
  <si>
    <t>Psychiatry: Other</t>
  </si>
  <si>
    <t>Total Radiology</t>
  </si>
  <si>
    <t>Diagnostic Radiology: Total</t>
  </si>
  <si>
    <t>Diagnostic Radiology: Interventional</t>
  </si>
  <si>
    <t>Diagnostic Radiology: Non-interventional</t>
  </si>
  <si>
    <t>Nuclear Medicine</t>
  </si>
  <si>
    <t>Radiation Oncology</t>
  </si>
  <si>
    <t>Other Radiology</t>
  </si>
  <si>
    <t>Total Surgery</t>
  </si>
  <si>
    <t>General Surgery</t>
  </si>
  <si>
    <t>Orthopaedic Surgery: Total</t>
  </si>
  <si>
    <t>Orthopaedic Surgery: General</t>
  </si>
  <si>
    <t>Orthopaedic Surgery: Sports Medicine</t>
  </si>
  <si>
    <t>Orthopaedic Surgery: Other</t>
  </si>
  <si>
    <t>Pediatric Surgery</t>
  </si>
  <si>
    <t>Plastic Surgery</t>
  </si>
  <si>
    <t>Surgical Oncology</t>
  </si>
  <si>
    <t>Thoracic &amp; Cardiovascular Surgery</t>
  </si>
  <si>
    <t>Transplant Surgery</t>
  </si>
  <si>
    <t>Trauma/Critical Care Surgery</t>
  </si>
  <si>
    <t>Vascular Surgery</t>
  </si>
  <si>
    <t>Other Surgery</t>
  </si>
  <si>
    <t>Community Health</t>
  </si>
  <si>
    <t>Ophthalmology</t>
  </si>
  <si>
    <t>Physical Medicine &amp; Rehabilitation</t>
  </si>
  <si>
    <t>Preventive Medicine</t>
  </si>
  <si>
    <t>***Abatement and remediation costs cannot be capitalized. The costs will be expensed in year one (or when abated)***</t>
  </si>
  <si>
    <t>2019.1.2</t>
  </si>
  <si>
    <t xml:space="preserve">Fixed formula error related to medical directorship salary and fringe </t>
  </si>
  <si>
    <t>Clinical or</t>
  </si>
  <si>
    <t xml:space="preserve"> Non-Clinical?</t>
  </si>
  <si>
    <t>2019.2.0</t>
  </si>
  <si>
    <t>Adjusted assessments for new methodology</t>
  </si>
  <si>
    <t>Clinical</t>
  </si>
  <si>
    <t>Non-Clinical</t>
  </si>
  <si>
    <t>YNHH Overhead</t>
  </si>
  <si>
    <t>Fixed PDDO formula to reflect 11.3% overhead</t>
  </si>
  <si>
    <t>Adjusted fringe to reflect clinical and non-clinical for faculty only (42.1% and 2.2%)</t>
  </si>
  <si>
    <t>2019.2.1</t>
  </si>
  <si>
    <t>Fixed PDDO formula which was incorrectly calculating YNHH payment on deficits on RFPs and other non-PDDOs</t>
  </si>
  <si>
    <t>FY 2028</t>
  </si>
  <si>
    <t>2020.1.0</t>
  </si>
  <si>
    <t>Updated fringe and assumptions based on the FY 2020 budget instructions</t>
  </si>
  <si>
    <t xml:space="preserve">Added password to unlock to top of summary RFP document </t>
  </si>
  <si>
    <t>2020.1.1</t>
  </si>
  <si>
    <t>Fixed formula error and a presentation error</t>
  </si>
  <si>
    <t>Total YNHH(S) Contractual (include On-Call)</t>
  </si>
  <si>
    <t>YNHH(S) Direct Salary and Fringe Benefit Support</t>
  </si>
  <si>
    <t xml:space="preserve">YNHH(S) Paid Performance Fund </t>
  </si>
  <si>
    <t>YNHH(S) Direct Salary and Fringe Benefit Support - Salary</t>
  </si>
  <si>
    <t>YNHH(S) Direct Salary - YSM Overhead Waived</t>
  </si>
  <si>
    <t>YNHH(S) Direct Salary and Fringe Benefit Support -Fringe</t>
  </si>
  <si>
    <t>Total Direct Salary and Fringe Cost to YNHH(S)</t>
  </si>
  <si>
    <t>2020.1.2</t>
  </si>
  <si>
    <t>Added YNHHS - Contractual PDDO category with associated formulas and labels.</t>
  </si>
  <si>
    <t>Base Contract Amount</t>
  </si>
  <si>
    <t>Rate</t>
  </si>
  <si>
    <t xml:space="preserve">Department Assessment </t>
  </si>
  <si>
    <t xml:space="preserve">Gross Assessments </t>
  </si>
  <si>
    <t>YNHHS and Non-Affiliated Hospital Contract Calculator</t>
  </si>
  <si>
    <t>Assessment Effective Rate - %</t>
  </si>
  <si>
    <t>Added Conctractual Calculator</t>
  </si>
  <si>
    <t>YNHH(S) Contractual (include On-Call)</t>
  </si>
  <si>
    <t>NIH Salary Cap</t>
  </si>
  <si>
    <t>Collections (Prorated if applicable)</t>
  </si>
  <si>
    <t>Grant Indirects</t>
  </si>
  <si>
    <t>On-Campus</t>
  </si>
  <si>
    <t>On-Campus Department of Defense</t>
  </si>
  <si>
    <t>Research</t>
  </si>
  <si>
    <t>Indirect Rates</t>
  </si>
  <si>
    <t>Off Campus</t>
  </si>
  <si>
    <t>CMHC</t>
  </si>
  <si>
    <t>VA</t>
  </si>
  <si>
    <t>Other Federally Sponsored Activities - On Campus</t>
  </si>
  <si>
    <t>Other Federally Sponsored Activities - Off Campus</t>
  </si>
  <si>
    <t>Private $10K-$25K</t>
  </si>
  <si>
    <t>Private &lt; $10K</t>
  </si>
  <si>
    <t>Industry Clinical Trials</t>
  </si>
  <si>
    <t>Fellowships</t>
  </si>
  <si>
    <t>Training Grants</t>
  </si>
  <si>
    <t>Unrestricted Clinical Trial</t>
  </si>
  <si>
    <t>Custom Cap</t>
  </si>
  <si>
    <t>No Cap</t>
  </si>
  <si>
    <t>Clinical Drug Trial Assessment</t>
  </si>
  <si>
    <t>(impacts family leave fringe)</t>
  </si>
  <si>
    <t>Clinical Drug Trials</t>
  </si>
  <si>
    <t>Multiple Awards (Use Custom Indirect Rate)</t>
  </si>
  <si>
    <t>Subaward Cap</t>
  </si>
  <si>
    <t>M&amp;P - Non-Clinical Faculty</t>
  </si>
  <si>
    <t>Clinical Faculty</t>
  </si>
  <si>
    <t>Over the Pension Cap</t>
  </si>
  <si>
    <t>Over the Pension Cap - Clinical Faculty</t>
  </si>
  <si>
    <t>1) Over the cap amount</t>
  </si>
  <si>
    <t>Added research template</t>
  </si>
  <si>
    <t>Updated fringe rates for new family rearing rate</t>
  </si>
  <si>
    <t>Clinical Revenue - Other</t>
  </si>
  <si>
    <t>Grant Revenue - Directs</t>
  </si>
  <si>
    <t>Grant Revenue - Indirects</t>
  </si>
  <si>
    <t>RFP Summary</t>
  </si>
  <si>
    <t>Non-Salary</t>
  </si>
  <si>
    <t>Total Net Income</t>
  </si>
  <si>
    <t>FY 23</t>
  </si>
  <si>
    <t>FY 24</t>
  </si>
  <si>
    <t>3 Year Total</t>
  </si>
  <si>
    <t>Comments</t>
  </si>
  <si>
    <t>cFTE</t>
  </si>
  <si>
    <t>REVENUE</t>
  </si>
  <si>
    <t>Total Revenues</t>
  </si>
  <si>
    <t>EXPENSES</t>
  </si>
  <si>
    <t>Subtotal (Assessments)</t>
  </si>
  <si>
    <t>Subtotal (Faculty Expenses)</t>
  </si>
  <si>
    <t>Subtotal (Staff Expenses)</t>
  </si>
  <si>
    <t>Subtotal (Fringe)</t>
  </si>
  <si>
    <t>Subtotal (Non-labor Expenses)</t>
  </si>
  <si>
    <t>Net Over/(Under)</t>
  </si>
  <si>
    <t>Non-PDDO Support</t>
  </si>
  <si>
    <t>Other Support and Gross-Up</t>
  </si>
  <si>
    <t>Total Payment from YNHH(S)</t>
  </si>
  <si>
    <t>Volume as % of Benchmark</t>
  </si>
  <si>
    <t>2020.12.13.20</t>
  </si>
  <si>
    <t>Added affiliated hospital template</t>
  </si>
  <si>
    <t>Added summary RFP template</t>
  </si>
  <si>
    <t>Updated inaccuracy (in rare occassions) on YNHHS overhead</t>
  </si>
  <si>
    <t>Select Ramp-Up Methodology/Fiscal Year----&gt;</t>
  </si>
  <si>
    <t>Fiscal Year Start ----&gt;</t>
  </si>
  <si>
    <t>Formatting enhancements to aid printing</t>
  </si>
  <si>
    <t>Updated fringe and caps to FY 2021 rates/amounts</t>
  </si>
  <si>
    <t>Added non-salary functionality for Research RFP</t>
  </si>
  <si>
    <t>Updated I&amp;A sheet for new University interest rate</t>
  </si>
  <si>
    <t>2021.3.31.20</t>
  </si>
  <si>
    <t>2021.8.20.20</t>
  </si>
  <si>
    <t>Removed error prompts caused by hidden sheets</t>
  </si>
  <si>
    <t>Updated fringe rates for new guidnance on Child Rearing</t>
  </si>
  <si>
    <t xml:space="preserve">Other Research Revenue </t>
  </si>
  <si>
    <t>Tack-On</t>
  </si>
  <si>
    <t>Yale Medicine Patient Financial Services</t>
  </si>
  <si>
    <t>Child Rearing Assessment</t>
  </si>
  <si>
    <t>Tack-On &amp; Sabaatical Assessment</t>
  </si>
  <si>
    <t>Cap as per NIH</t>
  </si>
  <si>
    <t>Moved Tach-On, Sabbatical, and Child Rearing to assessments rather than fringe</t>
  </si>
  <si>
    <t>Added FY22 parameters</t>
  </si>
  <si>
    <t>Adjusted for new YNHH(S) overhead rate from 11.3%/15% to 11.7%</t>
  </si>
  <si>
    <t>Other cosmetic adjustments and formula improvements</t>
  </si>
  <si>
    <t>Revenue Assessments</t>
  </si>
  <si>
    <t>2022.1.06.21</t>
  </si>
  <si>
    <t>YNHH(S) Direct Salary and Fringe Benefit Support -Tack-On</t>
  </si>
  <si>
    <t>2022.1.27.21</t>
  </si>
  <si>
    <t>Fixed formula error for YNHH direct funding</t>
  </si>
  <si>
    <t>Fixed formula error for YNHHS contractual agreements</t>
  </si>
  <si>
    <t>Removed Dean's Dowry as a revenue source</t>
  </si>
  <si>
    <t>Renamed Dowry "Academic Program Support"</t>
  </si>
  <si>
    <t>Correct proration for tack-on, sabbatical, and child-rearing leave</t>
  </si>
  <si>
    <t xml:space="preserve">Hid summary tab which is not widely used </t>
  </si>
  <si>
    <t>Corrected Research RFP non-salary issue (unfunded)</t>
  </si>
  <si>
    <t>2022.5.3.21</t>
  </si>
  <si>
    <t>Gross-Up?</t>
  </si>
  <si>
    <t>Department</t>
  </si>
  <si>
    <t>Direct Contract Amount</t>
  </si>
  <si>
    <t>Total Amount of Contract</t>
  </si>
  <si>
    <t xml:space="preserve">Year 1 </t>
  </si>
  <si>
    <t>Department Assessment</t>
  </si>
  <si>
    <t>2022.9.15.21</t>
  </si>
  <si>
    <t>Relabeled Business Office Assessment as Department Assessment</t>
  </si>
  <si>
    <t>Fixed YNHH funded salaries formula</t>
  </si>
  <si>
    <t xml:space="preserve">Revised contractual calculator </t>
  </si>
  <si>
    <t>Research Mission Business Plan</t>
  </si>
  <si>
    <t>Grants &amp;
Contracts</t>
  </si>
  <si>
    <t>Gifts/
Endowment</t>
  </si>
  <si>
    <t>Dept-Funded
(YD)</t>
  </si>
  <si>
    <t>Dean-Funded
(APS)</t>
  </si>
  <si>
    <t>Other
(please specify)</t>
  </si>
  <si>
    <t>Revenue:</t>
  </si>
  <si>
    <t>Grant Directs</t>
  </si>
  <si>
    <t>Spendable Gifts</t>
  </si>
  <si>
    <t>Endowment Income</t>
  </si>
  <si>
    <t>VA Funding</t>
  </si>
  <si>
    <t>YNHHS and Other Clinical Contracts</t>
  </si>
  <si>
    <t>Academic Program Support (APS)</t>
  </si>
  <si>
    <t>Other Revenue (please specify)</t>
  </si>
  <si>
    <t>Expenses:</t>
  </si>
  <si>
    <t>Faculty Salary: direct charge</t>
  </si>
  <si>
    <t>DHHS/NIH Cap</t>
  </si>
  <si>
    <t>Faculty Salary: cost share</t>
  </si>
  <si>
    <t>n/a</t>
  </si>
  <si>
    <t>Faculty Fringe rate</t>
  </si>
  <si>
    <t>Faculty Fringe $</t>
  </si>
  <si>
    <t>Total Faculty Cost</t>
  </si>
  <si>
    <t>Non-Salary Expenses</t>
  </si>
  <si>
    <t>Equipment</t>
  </si>
  <si>
    <t>Clinical Trial Assessment</t>
  </si>
  <si>
    <t>Gift Assessment</t>
  </si>
  <si>
    <t>YNHHS Assessment</t>
  </si>
  <si>
    <t>Supplemental Fringe</t>
  </si>
  <si>
    <t>YSM Sabbatical</t>
  </si>
  <si>
    <t>Applicable Assessments from above</t>
  </si>
  <si>
    <t>Supplemental info:</t>
  </si>
  <si>
    <t>Please describe grant funding, including % effort on each award if available (eg, 50% effort on R01)</t>
  </si>
  <si>
    <t>Please describe how cost sharing and other unfunded expenses will be covered (eg, "funded from clinical surplus", "funded from reserves")</t>
  </si>
  <si>
    <t xml:space="preserve">NIH / HHS SALARY and IRS PENSION CAP - Costing Allocation Calculations </t>
  </si>
  <si>
    <t>Current NIH Salary Cap</t>
  </si>
  <si>
    <t>Worker Costing Allocations                      (Effective Effort)</t>
  </si>
  <si>
    <t>Current IRS Pension Cap</t>
  </si>
  <si>
    <t>A</t>
  </si>
  <si>
    <t>B</t>
  </si>
  <si>
    <t>C</t>
  </si>
  <si>
    <t>D (A*B)</t>
  </si>
  <si>
    <t>E  (B*NIH CAP)</t>
  </si>
  <si>
    <t>F                      ( (A-Pension Cap)*B)</t>
  </si>
  <si>
    <t>G                      ( (A-Pension Cap)*B)</t>
  </si>
  <si>
    <t>H</t>
  </si>
  <si>
    <t>I</t>
  </si>
  <si>
    <t>J</t>
  </si>
  <si>
    <t>K</t>
  </si>
  <si>
    <t>L</t>
  </si>
  <si>
    <t>M</t>
  </si>
  <si>
    <t>N</t>
  </si>
  <si>
    <t>O</t>
  </si>
  <si>
    <t>Y</t>
  </si>
  <si>
    <t>Enter Faculty Name</t>
  </si>
  <si>
    <t xml:space="preserve">Actual Salary </t>
  </si>
  <si>
    <t>Intended Effort %*</t>
  </si>
  <si>
    <t>Is this a NIH/HHS Grant?</t>
  </si>
  <si>
    <t>Actual Salary at required effort</t>
  </si>
  <si>
    <t>COA Direct Charge Salary</t>
  </si>
  <si>
    <t>NIH/HHS Over the Cap Salary</t>
  </si>
  <si>
    <t>PENSION - Over the Cap Salary</t>
  </si>
  <si>
    <t>COA Direct Charge Fringe</t>
  </si>
  <si>
    <t>Combined Over the Cap Fringe</t>
  </si>
  <si>
    <t>Total Cost Sharing</t>
  </si>
  <si>
    <t>COA Direct Charge</t>
  </si>
  <si>
    <t>NIH Cap Cost Share</t>
  </si>
  <si>
    <t>Pension Cap Cost Share (Ledger:71013)</t>
  </si>
  <si>
    <t>Variance</t>
  </si>
  <si>
    <t>Enter Awards or Grants here</t>
  </si>
  <si>
    <t xml:space="preserve">FY22 Fringe Rates: </t>
  </si>
  <si>
    <t>Salary Allocated</t>
  </si>
  <si>
    <t>Fringe Allocated</t>
  </si>
  <si>
    <t>Total Expense</t>
  </si>
  <si>
    <r>
      <t>Over the Pension Cap Amount</t>
    </r>
    <r>
      <rPr>
        <vertAlign val="superscript"/>
        <sz val="11"/>
        <color theme="1"/>
        <rFont val="YaleNew"/>
        <family val="3"/>
      </rPr>
      <t>1</t>
    </r>
  </si>
  <si>
    <t>Clinical Revenue - YNHH(S) Support</t>
  </si>
  <si>
    <t>Postdoc/Staff Salary</t>
  </si>
  <si>
    <t>Postdoc/Staff Salary - Fringe</t>
  </si>
  <si>
    <t>All Other Staffing</t>
  </si>
  <si>
    <t>YNHH(S) Overhead - CLINICAL ONLY</t>
  </si>
  <si>
    <t>Total YNHH Payment - CLINICAL ONLY</t>
  </si>
  <si>
    <t>Total Clinical</t>
  </si>
  <si>
    <t>Total Salary Support FTE</t>
  </si>
  <si>
    <t>Full FTE</t>
  </si>
  <si>
    <t>Compensation</t>
  </si>
  <si>
    <t>Clinical Total</t>
  </si>
  <si>
    <t>Comp</t>
  </si>
  <si>
    <t>Clinica lStaff Costs</t>
  </si>
  <si>
    <t>Assume compensation is for 1.0 FTE; formula will prorate for Clinical effort</t>
  </si>
  <si>
    <t>FTE (not cFTE)</t>
  </si>
  <si>
    <t>Salary support should be proportional to 1.0 FTE</t>
  </si>
  <si>
    <t>YM CARE Staffing</t>
  </si>
  <si>
    <t>Clinical Staff</t>
  </si>
  <si>
    <t>Administrative</t>
  </si>
  <si>
    <t>2023.1.26.22</t>
  </si>
  <si>
    <t>YM CARE</t>
  </si>
  <si>
    <t>YM CARE Staff (C&amp;T)</t>
  </si>
  <si>
    <t>Description</t>
  </si>
  <si>
    <t>Total YM CARE Staffing</t>
  </si>
  <si>
    <t>---&gt; please select</t>
  </si>
  <si>
    <t>CY 2023 Cap</t>
  </si>
  <si>
    <t>* Changing the inputs will impact the plan sheet and salary build tab.</t>
  </si>
  <si>
    <t xml:space="preserve">Blank </t>
  </si>
  <si>
    <t>Blank</t>
  </si>
  <si>
    <t>3 yr. Total</t>
  </si>
  <si>
    <t>YSM/YM Assessment</t>
  </si>
  <si>
    <t>Include redesign of Research RFP Template</t>
  </si>
  <si>
    <t xml:space="preserve">Added YM CARE staffing </t>
  </si>
  <si>
    <t>Updated for FY23 parameters</t>
  </si>
  <si>
    <t xml:space="preserve">Various formatting changes </t>
  </si>
  <si>
    <t>Changed ramp-up to blank to incent thoughful metrics</t>
  </si>
  <si>
    <t>Other Clinical Contracts (not YNHHS)</t>
  </si>
  <si>
    <t>Other Contractual (not YNHHS)</t>
  </si>
  <si>
    <t>YNHH PDDO</t>
  </si>
  <si>
    <t>YNHHS PDDO</t>
  </si>
  <si>
    <t>Renamed YNHH(S) options and consolidated</t>
  </si>
  <si>
    <t>Changed NIH cap as of 1/22</t>
  </si>
  <si>
    <t>Fixed Tack-on proration formula</t>
  </si>
  <si>
    <t>2023.6.13.22</t>
  </si>
  <si>
    <t>Grand Total</t>
  </si>
  <si>
    <t>Added grand total to Research RFP and locked select cells with formulas</t>
  </si>
  <si>
    <t>Total Payment to Yale University</t>
  </si>
  <si>
    <t>Non-Affiliated PDDO</t>
  </si>
  <si>
    <t>Please update to 15% if for non-affiliated</t>
  </si>
  <si>
    <t>Added a "Non-Affiliated" PDDO category</t>
  </si>
  <si>
    <t>Removed mostly unused categories without formula implications (RFP and Salary Support)</t>
  </si>
  <si>
    <t>Non-Affliated PDDO</t>
  </si>
  <si>
    <t>A backstop from a YNHHS entity with a unique set of assessments; will populate the assessments on PDDO section at the bottom of the document.</t>
  </si>
  <si>
    <t>A backstop from non-YNHH/YNHHS entity with a unique set of assessments; will populate the assessments on PDDO section at the bottom of the document.</t>
  </si>
  <si>
    <t xml:space="preserve">A plan to satisfy planning for a contractual agreement. Does not impact the spreadsheet and assessments will only be calculated within the plan. </t>
  </si>
  <si>
    <r>
      <t xml:space="preserve">PW: </t>
    </r>
    <r>
      <rPr>
        <b/>
        <i/>
        <sz val="8"/>
        <rFont val="Times New Roman"/>
        <family val="1"/>
      </rPr>
      <t>yalebulldogs</t>
    </r>
  </si>
  <si>
    <r>
      <t xml:space="preserve">YNHHS Contratual Assessment </t>
    </r>
    <r>
      <rPr>
        <sz val="10"/>
        <rFont val="Times New Roman"/>
        <family val="1"/>
      </rPr>
      <t>(calc. includes gross-up)</t>
    </r>
  </si>
  <si>
    <r>
      <t>Tack-On, Sabbatical, &amp; Child Rearing</t>
    </r>
    <r>
      <rPr>
        <sz val="10"/>
        <rFont val="Times New Roman"/>
        <family val="1"/>
      </rPr>
      <t xml:space="preserve"> (select salaries)</t>
    </r>
  </si>
  <si>
    <r>
      <t>YNHHS/Other Contract Overhead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(calc. includes gross-up)</t>
    </r>
  </si>
  <si>
    <r>
      <t>Non-Affiliated PDDO Overhead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(calc. includes gross-up)</t>
    </r>
  </si>
  <si>
    <r>
      <t>Comp.</t>
    </r>
    <r>
      <rPr>
        <b/>
        <vertAlign val="superscript"/>
        <sz val="12"/>
        <color theme="1"/>
        <rFont val="Times New Roman"/>
        <family val="1"/>
      </rPr>
      <t>1</t>
    </r>
  </si>
  <si>
    <t>Changed font to Times New Roman</t>
  </si>
  <si>
    <t>Unlocked commentary on "Research Tab"</t>
  </si>
  <si>
    <t>Expenses</t>
  </si>
  <si>
    <t xml:space="preserve">Removed default assessment rate </t>
  </si>
  <si>
    <t>Shared Services Submission Cover Sheet</t>
  </si>
  <si>
    <t>Required Signatures / Attached Email Support:</t>
  </si>
  <si>
    <t>Department Chair:</t>
  </si>
  <si>
    <t>Service Line Lead:</t>
  </si>
  <si>
    <t>Please complete the following cover sheet and include with all SSA submissions</t>
  </si>
  <si>
    <t>Department / Section:</t>
  </si>
  <si>
    <t>Submission Title:</t>
  </si>
  <si>
    <t>New Recruit</t>
  </si>
  <si>
    <r>
      <t xml:space="preserve">Description: </t>
    </r>
    <r>
      <rPr>
        <i/>
        <sz val="10"/>
        <color theme="1"/>
        <rFont val="Calibri"/>
        <family val="2"/>
        <scheme val="minor"/>
      </rPr>
      <t>Please describe the submission including supportive information, background,</t>
    </r>
  </si>
  <si>
    <t xml:space="preserve"> description of the request and relevant details (3-5 sentences)</t>
  </si>
  <si>
    <t>Other Support</t>
  </si>
  <si>
    <t>Please Select from the Below List:</t>
  </si>
  <si>
    <t>Check the boxes for those items included in the submission packet, and provide requested documents</t>
  </si>
  <si>
    <t>{1}</t>
  </si>
  <si>
    <t>New Recruit:</t>
  </si>
  <si>
    <t>{2}</t>
  </si>
  <si>
    <t>{3}</t>
  </si>
  <si>
    <t>{4}</t>
  </si>
  <si>
    <t>Other Programmatic Support / Departmental Support / Performance Support</t>
  </si>
  <si>
    <t xml:space="preserve">Added YNHH/YM cover sheet </t>
  </si>
  <si>
    <t>FY 2029</t>
  </si>
  <si>
    <t>FY 2030</t>
  </si>
  <si>
    <t>FY 2031</t>
  </si>
  <si>
    <t>FY 2032</t>
  </si>
  <si>
    <t>Minor formula and labeling enhancements throughout workbook</t>
  </si>
  <si>
    <t>Section Chief</t>
  </si>
  <si>
    <t>2023.10.31.22</t>
  </si>
  <si>
    <t>2024.02.21.23</t>
  </si>
  <si>
    <t>Updated for FY24 budget parameters</t>
  </si>
  <si>
    <t>FY 2024 Rate</t>
  </si>
  <si>
    <t>https://your.yale.edu/research-support/office-sponsored-projects/institutional-information</t>
  </si>
  <si>
    <t>Removed unused research assumptions (custom caps)</t>
  </si>
  <si>
    <t>Added hyperlink to official YSM research assumptions on the assumptions tab</t>
  </si>
  <si>
    <t xml:space="preserve">Can select for each of the three years. The standard assumption should be 65/80/100. Will show as blank and the user is to select appropriate ramp-up criteria. </t>
  </si>
  <si>
    <t xml:space="preserve">Time spent seeing patients and/or on direct patient care activity. Should align with departments definition of cFTE.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</si>
</sst>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_);_(@_)"/>
    <numFmt numFmtId="165" formatCode="#,##0.00;\(#,##0.00\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_);_(@_)"/>
    <numFmt numFmtId="172" formatCode="_(&quot;$&quot;* #,##0.0_);_(&quot;$&quot;* \(#,##0.0\);_(&quot;$&quot;* &quot;-&quot;?_);_(@_)"/>
    <numFmt numFmtId="173" formatCode="_(* #,##0.000_);_(* \(#,##0.000\);_(* &quot;-&quot;???_);_(@_)"/>
    <numFmt numFmtId="174" formatCode="&quot;$&quot;#,##0"/>
    <numFmt numFmtId="175" formatCode="_(* #,##0.00_);_(* \(#,##0.00\);_(* &quot;-&quot;_);_(@_)"/>
    <numFmt numFmtId="176" formatCode="0.000%"/>
  </numFmts>
  <fonts count="113" x14ac:knownFonts="1"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8"/>
      <name val="Microsoft Sans Serif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0"/>
      <name val="Garamond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u val="singleAccounting"/>
      <sz val="12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Times New Roman"/>
      <family val="1"/>
    </font>
    <font>
      <b/>
      <u/>
      <vertAlign val="superscript"/>
      <sz val="12"/>
      <name val="Times New Roman"/>
      <family val="1"/>
    </font>
    <font>
      <i/>
      <sz val="12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sz val="9"/>
      <color rgb="FFFF0000"/>
      <name val="Cambria"/>
      <family val="2"/>
      <scheme val="major"/>
    </font>
    <font>
      <b/>
      <sz val="9"/>
      <color theme="1"/>
      <name val="Cambria"/>
      <family val="2"/>
      <scheme val="maj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YaleNew"/>
      <family val="3"/>
    </font>
    <font>
      <b/>
      <sz val="14"/>
      <name val="YaleNew"/>
      <family val="3"/>
    </font>
    <font>
      <b/>
      <sz val="12"/>
      <color theme="1"/>
      <name val="YaleNew"/>
      <family val="3"/>
    </font>
    <font>
      <sz val="11"/>
      <color theme="1"/>
      <name val="YaleNew"/>
      <family val="3"/>
    </font>
    <font>
      <sz val="12"/>
      <name val="YaleNew"/>
      <family val="3"/>
    </font>
    <font>
      <i/>
      <sz val="12"/>
      <name val="YaleNew"/>
      <family val="3"/>
    </font>
    <font>
      <b/>
      <sz val="11"/>
      <color theme="1"/>
      <name val="YaleNew"/>
      <family val="3"/>
    </font>
    <font>
      <b/>
      <sz val="11"/>
      <color theme="0"/>
      <name val="YaleNew"/>
      <family val="3"/>
    </font>
    <font>
      <b/>
      <u/>
      <sz val="11"/>
      <color theme="1"/>
      <name val="YaleNew"/>
      <family val="3"/>
    </font>
    <font>
      <i/>
      <sz val="11"/>
      <color theme="1"/>
      <name val="YaleNew"/>
      <family val="3"/>
    </font>
    <font>
      <u/>
      <sz val="11"/>
      <color theme="10"/>
      <name val="YaleNew"/>
      <family val="3"/>
    </font>
    <font>
      <u val="singleAccounting"/>
      <sz val="11"/>
      <color theme="1"/>
      <name val="YaleNew"/>
      <family val="3"/>
    </font>
    <font>
      <b/>
      <sz val="20"/>
      <name val="YaleNew"/>
      <family val="3"/>
    </font>
    <font>
      <b/>
      <sz val="14"/>
      <color theme="4" tint="-0.249977111117893"/>
      <name val="YaleNew"/>
      <family val="3"/>
    </font>
    <font>
      <sz val="10"/>
      <color indexed="23"/>
      <name val="YaleNew"/>
      <family val="3"/>
    </font>
    <font>
      <b/>
      <sz val="10"/>
      <name val="YaleNew"/>
      <family val="3"/>
    </font>
    <font>
      <b/>
      <sz val="10"/>
      <color indexed="23"/>
      <name val="YaleNew"/>
      <family val="3"/>
    </font>
    <font>
      <i/>
      <sz val="11"/>
      <name val="YaleNew"/>
      <family val="3"/>
    </font>
    <font>
      <sz val="11"/>
      <name val="YaleNew"/>
      <family val="3"/>
    </font>
    <font>
      <b/>
      <sz val="11"/>
      <name val="YaleNew"/>
      <family val="3"/>
    </font>
    <font>
      <sz val="11"/>
      <color indexed="23"/>
      <name val="YaleNew"/>
      <family val="3"/>
    </font>
    <font>
      <b/>
      <sz val="11"/>
      <color indexed="23"/>
      <name val="YaleNew"/>
      <family val="3"/>
    </font>
    <font>
      <sz val="12"/>
      <color indexed="23"/>
      <name val="YaleNew"/>
      <family val="3"/>
    </font>
    <font>
      <sz val="12"/>
      <color indexed="55"/>
      <name val="YaleNew"/>
      <family val="3"/>
    </font>
    <font>
      <sz val="12"/>
      <color theme="0"/>
      <name val="YaleNew"/>
      <family val="3"/>
    </font>
    <font>
      <sz val="11"/>
      <color theme="0"/>
      <name val="YaleNew"/>
      <family val="3"/>
    </font>
    <font>
      <i/>
      <sz val="8"/>
      <color theme="1"/>
      <name val="YaleNew"/>
      <family val="3"/>
    </font>
    <font>
      <i/>
      <sz val="10"/>
      <color theme="1"/>
      <name val="YaleNew"/>
      <family val="3"/>
    </font>
    <font>
      <vertAlign val="superscript"/>
      <sz val="11"/>
      <color theme="1"/>
      <name val="YaleNew"/>
      <family val="3"/>
    </font>
    <font>
      <b/>
      <i/>
      <sz val="8"/>
      <color theme="1"/>
      <name val="YaleNew"/>
      <family val="3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color theme="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rgb="FFFF0000"/>
      <name val="Times New Roman"/>
      <family val="1"/>
    </font>
    <font>
      <sz val="11.5"/>
      <color theme="1"/>
      <name val="Times New Roman"/>
      <family val="1"/>
    </font>
    <font>
      <sz val="12"/>
      <color rgb="FF00B0F0"/>
      <name val="Times New Roman"/>
      <family val="1"/>
    </font>
    <font>
      <b/>
      <sz val="15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4.9958800012207406E-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3">
    <xf numFmtId="0" fontId="0" fillId="0" borderId="0"/>
    <xf numFmtId="0" fontId="1" fillId="0" borderId="1" applyNumberFormat="0" applyFill="0" applyProtection="0">
      <alignment horizont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2">
      <alignment horizontal="center" vertical="center" wrapText="1"/>
    </xf>
    <xf numFmtId="0" fontId="5" fillId="3" borderId="0" applyNumberFormat="0" applyBorder="0" applyAlignment="0" applyProtection="0"/>
    <xf numFmtId="0" fontId="6" fillId="21" borderId="3" applyNumberFormat="0" applyAlignment="0" applyProtection="0"/>
    <xf numFmtId="0" fontId="7" fillId="22" borderId="4" applyNumberFormat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165" fontId="8" fillId="0" borderId="0"/>
    <xf numFmtId="0" fontId="9" fillId="0" borderId="0"/>
    <xf numFmtId="165" fontId="8" fillId="0" borderId="0"/>
    <xf numFmtId="0" fontId="9" fillId="0" borderId="0"/>
    <xf numFmtId="0" fontId="34" fillId="0" borderId="0"/>
    <xf numFmtId="165" fontId="8" fillId="0" borderId="0"/>
    <xf numFmtId="0" fontId="9" fillId="0" borderId="0"/>
    <xf numFmtId="165" fontId="8" fillId="0" borderId="0"/>
    <xf numFmtId="37" fontId="21" fillId="24" borderId="0" applyFill="0"/>
    <xf numFmtId="0" fontId="9" fillId="0" borderId="0"/>
    <xf numFmtId="165" fontId="8" fillId="0" borderId="0"/>
    <xf numFmtId="0" fontId="34" fillId="0" borderId="0"/>
    <xf numFmtId="0" fontId="22" fillId="0" borderId="0"/>
    <xf numFmtId="0" fontId="9" fillId="0" borderId="0"/>
    <xf numFmtId="0" fontId="9" fillId="0" borderId="0"/>
    <xf numFmtId="0" fontId="9" fillId="0" borderId="0"/>
    <xf numFmtId="165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165" fontId="8" fillId="0" borderId="0"/>
    <xf numFmtId="0" fontId="9" fillId="0" borderId="0"/>
    <xf numFmtId="0" fontId="22" fillId="0" borderId="0"/>
    <xf numFmtId="0" fontId="34" fillId="0" borderId="0"/>
    <xf numFmtId="0" fontId="9" fillId="0" borderId="0"/>
    <xf numFmtId="37" fontId="21" fillId="24" borderId="0" applyFill="0"/>
    <xf numFmtId="0" fontId="9" fillId="0" borderId="0"/>
    <xf numFmtId="0" fontId="9" fillId="0" borderId="0"/>
    <xf numFmtId="0" fontId="34" fillId="0" borderId="0"/>
    <xf numFmtId="165" fontId="8" fillId="0" borderId="0"/>
    <xf numFmtId="0" fontId="9" fillId="0" borderId="0"/>
    <xf numFmtId="0" fontId="34" fillId="0" borderId="0"/>
    <xf numFmtId="0" fontId="9" fillId="0" borderId="0"/>
    <xf numFmtId="165" fontId="8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/>
    <xf numFmtId="0" fontId="9" fillId="0" borderId="0"/>
    <xf numFmtId="0" fontId="34" fillId="0" borderId="0"/>
    <xf numFmtId="0" fontId="9" fillId="0" borderId="0"/>
    <xf numFmtId="165" fontId="8" fillId="0" borderId="0"/>
    <xf numFmtId="0" fontId="9" fillId="0" borderId="0"/>
    <xf numFmtId="165" fontId="8" fillId="0" borderId="0"/>
    <xf numFmtId="0" fontId="34" fillId="0" borderId="0"/>
    <xf numFmtId="0" fontId="2" fillId="25" borderId="9" applyNumberFormat="0" applyFont="0" applyAlignment="0" applyProtection="0"/>
    <xf numFmtId="0" fontId="23" fillId="21" borderId="10" applyNumberFormat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32">
    <xf numFmtId="0" fontId="0" fillId="0" borderId="0" xfId="0"/>
    <xf numFmtId="0" fontId="0" fillId="0" borderId="0" xfId="0" applyProtection="1">
      <protection locked="0"/>
    </xf>
    <xf numFmtId="170" fontId="28" fillId="0" borderId="0" xfId="127" applyNumberFormat="1" applyFont="1" applyFill="1" applyProtection="1"/>
    <xf numFmtId="9" fontId="37" fillId="0" borderId="0" xfId="128" applyFont="1" applyFill="1" applyProtection="1"/>
    <xf numFmtId="41" fontId="28" fillId="0" borderId="0" xfId="55" applyNumberFormat="1" applyFont="1" applyFill="1" applyProtection="1"/>
    <xf numFmtId="0" fontId="30" fillId="0" borderId="0" xfId="0" applyFont="1" applyProtection="1">
      <protection locked="0"/>
    </xf>
    <xf numFmtId="0" fontId="30" fillId="0" borderId="0" xfId="0" applyFont="1" applyFill="1" applyProtection="1">
      <protection locked="0"/>
    </xf>
    <xf numFmtId="0" fontId="32" fillId="0" borderId="0" xfId="30" applyNumberFormat="1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Protection="1">
      <protection locked="0"/>
    </xf>
    <xf numFmtId="41" fontId="28" fillId="0" borderId="0" xfId="55" applyNumberFormat="1" applyFont="1" applyFill="1" applyProtection="1">
      <protection locked="0"/>
    </xf>
    <xf numFmtId="41" fontId="31" fillId="0" borderId="0" xfId="55" applyNumberFormat="1" applyFont="1" applyFill="1" applyProtection="1">
      <protection locked="0"/>
    </xf>
    <xf numFmtId="41" fontId="29" fillId="0" borderId="0" xfId="55" applyNumberFormat="1" applyFont="1" applyFill="1" applyProtection="1">
      <protection locked="0"/>
    </xf>
    <xf numFmtId="167" fontId="29" fillId="0" borderId="0" xfId="30" applyNumberFormat="1" applyFont="1" applyProtection="1">
      <protection locked="0"/>
    </xf>
    <xf numFmtId="170" fontId="29" fillId="0" borderId="0" xfId="127" applyNumberFormat="1" applyFont="1" applyFill="1" applyProtection="1"/>
    <xf numFmtId="170" fontId="29" fillId="0" borderId="0" xfId="127" applyNumberFormat="1" applyFont="1" applyFill="1" applyProtection="1">
      <protection locked="0"/>
    </xf>
    <xf numFmtId="41" fontId="29" fillId="0" borderId="29" xfId="55" applyNumberFormat="1" applyFont="1" applyBorder="1" applyProtection="1"/>
    <xf numFmtId="170" fontId="29" fillId="0" borderId="29" xfId="127" applyNumberFormat="1" applyFont="1" applyFill="1" applyBorder="1" applyProtection="1"/>
    <xf numFmtId="170" fontId="37" fillId="0" borderId="29" xfId="127" applyNumberFormat="1" applyFont="1" applyFill="1" applyBorder="1" applyProtection="1"/>
    <xf numFmtId="41" fontId="29" fillId="0" borderId="29" xfId="55" applyNumberFormat="1" applyFont="1" applyFill="1" applyBorder="1" applyProtection="1"/>
    <xf numFmtId="9" fontId="37" fillId="0" borderId="29" xfId="128" applyFont="1" applyFill="1" applyBorder="1" applyProtection="1"/>
    <xf numFmtId="0" fontId="30" fillId="0" borderId="0" xfId="0" applyNumberFormat="1" applyFont="1"/>
    <xf numFmtId="168" fontId="28" fillId="0" borderId="0" xfId="55" applyNumberFormat="1" applyFont="1" applyFill="1" applyProtection="1"/>
    <xf numFmtId="168" fontId="29" fillId="0" borderId="29" xfId="55" applyNumberFormat="1" applyFont="1" applyFill="1" applyBorder="1" applyProtection="1"/>
    <xf numFmtId="170" fontId="41" fillId="0" borderId="0" xfId="127" applyNumberFormat="1" applyFont="1" applyFill="1" applyProtection="1"/>
    <xf numFmtId="168" fontId="41" fillId="0" borderId="0" xfId="30" applyNumberFormat="1" applyFont="1" applyFill="1" applyProtection="1"/>
    <xf numFmtId="168" fontId="37" fillId="0" borderId="29" xfId="30" applyNumberFormat="1" applyFont="1" applyFill="1" applyBorder="1" applyProtection="1"/>
    <xf numFmtId="9" fontId="0" fillId="0" borderId="0" xfId="128" applyFont="1"/>
    <xf numFmtId="41" fontId="28" fillId="0" borderId="29" xfId="55" applyNumberFormat="1" applyFont="1" applyFill="1" applyBorder="1" applyProtection="1"/>
    <xf numFmtId="168" fontId="28" fillId="0" borderId="29" xfId="55" applyNumberFormat="1" applyFont="1" applyFill="1" applyBorder="1" applyProtection="1"/>
    <xf numFmtId="168" fontId="28" fillId="0" borderId="0" xfId="30" applyNumberFormat="1" applyFont="1" applyFill="1" applyProtection="1"/>
    <xf numFmtId="0" fontId="38" fillId="0" borderId="0" xfId="55" applyFont="1" applyFill="1" applyProtection="1"/>
    <xf numFmtId="0" fontId="28" fillId="0" borderId="0" xfId="55" applyFont="1" applyFill="1" applyAlignment="1" applyProtection="1">
      <alignment horizontal="left" indent="2"/>
    </xf>
    <xf numFmtId="0" fontId="29" fillId="0" borderId="0" xfId="55" applyFont="1" applyFill="1" applyAlignment="1" applyProtection="1">
      <alignment horizontal="left" indent="2"/>
    </xf>
    <xf numFmtId="0" fontId="30" fillId="0" borderId="0" xfId="0" applyFont="1" applyBorder="1" applyProtection="1">
      <protection locked="0"/>
    </xf>
    <xf numFmtId="0" fontId="0" fillId="0" borderId="14" xfId="0" applyBorder="1" applyAlignment="1" applyProtection="1">
      <alignment horizontal="center" wrapText="1"/>
      <protection locked="0"/>
    </xf>
    <xf numFmtId="41" fontId="29" fillId="0" borderId="0" xfId="55" applyNumberFormat="1" applyFont="1" applyProtection="1">
      <protection locked="0"/>
    </xf>
    <xf numFmtId="168" fontId="37" fillId="0" borderId="0" xfId="30" applyNumberFormat="1" applyFont="1" applyFill="1" applyProtection="1">
      <protection locked="0"/>
    </xf>
    <xf numFmtId="170" fontId="37" fillId="0" borderId="0" xfId="127" applyNumberFormat="1" applyFont="1" applyFill="1" applyProtection="1">
      <protection locked="0"/>
    </xf>
    <xf numFmtId="169" fontId="29" fillId="0" borderId="0" xfId="127" applyNumberFormat="1" applyFont="1" applyProtection="1">
      <protection locked="0"/>
    </xf>
    <xf numFmtId="9" fontId="37" fillId="0" borderId="0" xfId="128" applyFont="1" applyFill="1" applyProtection="1">
      <protection locked="0"/>
    </xf>
    <xf numFmtId="164" fontId="28" fillId="0" borderId="0" xfId="55" applyNumberFormat="1" applyFont="1" applyFill="1" applyProtection="1">
      <protection locked="0"/>
    </xf>
    <xf numFmtId="167" fontId="32" fillId="0" borderId="29" xfId="30" applyNumberFormat="1" applyFont="1" applyBorder="1" applyProtection="1"/>
    <xf numFmtId="168" fontId="29" fillId="0" borderId="29" xfId="30" applyNumberFormat="1" applyFont="1" applyFill="1" applyBorder="1" applyProtection="1"/>
    <xf numFmtId="0" fontId="38" fillId="0" borderId="0" xfId="55" applyFont="1" applyFill="1" applyAlignment="1" applyProtection="1">
      <alignment horizontal="left" indent="2"/>
    </xf>
    <xf numFmtId="0" fontId="41" fillId="0" borderId="0" xfId="55" applyFont="1" applyFill="1" applyAlignment="1" applyProtection="1">
      <alignment horizontal="left" indent="2"/>
    </xf>
    <xf numFmtId="41" fontId="31" fillId="0" borderId="29" xfId="55" applyNumberFormat="1" applyFont="1" applyFill="1" applyBorder="1" applyProtection="1"/>
    <xf numFmtId="0" fontId="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42" fillId="0" borderId="13" xfId="0" applyFont="1" applyFill="1" applyBorder="1" applyProtection="1">
      <protection locked="0"/>
    </xf>
    <xf numFmtId="0" fontId="29" fillId="0" borderId="0" xfId="30" applyNumberFormat="1" applyFont="1" applyFill="1" applyBorder="1" applyAlignment="1" applyProtection="1">
      <alignment horizontal="left"/>
    </xf>
    <xf numFmtId="41" fontId="29" fillId="0" borderId="0" xfId="55" applyNumberFormat="1" applyFont="1" applyFill="1" applyProtection="1"/>
    <xf numFmtId="0" fontId="28" fillId="0" borderId="0" xfId="55" applyFont="1" applyProtection="1"/>
    <xf numFmtId="0" fontId="33" fillId="0" borderId="29" xfId="0" applyFont="1" applyBorder="1" applyProtection="1"/>
    <xf numFmtId="170" fontId="29" fillId="0" borderId="29" xfId="127" applyNumberFormat="1" applyFont="1" applyBorder="1" applyProtection="1"/>
    <xf numFmtId="170" fontId="28" fillId="0" borderId="0" xfId="127" applyNumberFormat="1" applyFont="1" applyFill="1" applyAlignment="1" applyProtection="1">
      <alignment horizontal="center"/>
    </xf>
    <xf numFmtId="41" fontId="29" fillId="0" borderId="29" xfId="55" applyNumberFormat="1" applyFont="1" applyBorder="1" applyAlignment="1" applyProtection="1">
      <alignment horizontal="center"/>
    </xf>
    <xf numFmtId="0" fontId="0" fillId="0" borderId="0" xfId="0" applyProtection="1"/>
    <xf numFmtId="43" fontId="30" fillId="0" borderId="0" xfId="0" applyNumberFormat="1" applyFont="1" applyProtection="1">
      <protection locked="0"/>
    </xf>
    <xf numFmtId="0" fontId="0" fillId="0" borderId="0" xfId="0" applyFont="1" applyProtection="1"/>
    <xf numFmtId="41" fontId="31" fillId="0" borderId="0" xfId="55" applyNumberFormat="1" applyFont="1" applyFill="1" applyBorder="1" applyProtection="1"/>
    <xf numFmtId="168" fontId="41" fillId="0" borderId="0" xfId="55" applyNumberFormat="1" applyFont="1" applyFill="1" applyProtection="1"/>
    <xf numFmtId="164" fontId="41" fillId="0" borderId="0" xfId="55" applyNumberFormat="1" applyFont="1" applyFill="1" applyProtection="1">
      <protection locked="0"/>
    </xf>
    <xf numFmtId="0" fontId="43" fillId="0" borderId="0" xfId="0" applyFont="1" applyProtection="1">
      <protection locked="0"/>
    </xf>
    <xf numFmtId="168" fontId="30" fillId="0" borderId="0" xfId="0" applyNumberFormat="1" applyFont="1" applyProtection="1">
      <protection locked="0"/>
    </xf>
    <xf numFmtId="173" fontId="30" fillId="0" borderId="0" xfId="0" applyNumberFormat="1" applyFont="1" applyProtection="1">
      <protection locked="0"/>
    </xf>
    <xf numFmtId="168" fontId="43" fillId="0" borderId="0" xfId="0" applyNumberFormat="1" applyFont="1" applyProtection="1">
      <protection locked="0"/>
    </xf>
    <xf numFmtId="43" fontId="43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3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168" fontId="28" fillId="31" borderId="0" xfId="30" applyNumberFormat="1" applyFont="1" applyFill="1" applyProtection="1"/>
    <xf numFmtId="0" fontId="29" fillId="0" borderId="0" xfId="30" applyNumberFormat="1" applyFont="1" applyFill="1" applyBorder="1" applyAlignment="1" applyProtection="1">
      <alignment horizontal="left"/>
      <protection locked="0"/>
    </xf>
    <xf numFmtId="0" fontId="29" fillId="0" borderId="0" xfId="30" applyNumberFormat="1" applyFont="1" applyFill="1" applyBorder="1" applyAlignment="1" applyProtection="1">
      <alignment horizontal="center"/>
    </xf>
    <xf numFmtId="0" fontId="30" fillId="0" borderId="0" xfId="0" applyFont="1" applyFill="1" applyProtection="1"/>
    <xf numFmtId="0" fontId="30" fillId="0" borderId="0" xfId="0" applyFont="1" applyBorder="1" applyProtection="1"/>
    <xf numFmtId="0" fontId="36" fillId="0" borderId="0" xfId="30" applyNumberFormat="1" applyFont="1" applyFill="1" applyBorder="1" applyAlignment="1" applyProtection="1">
      <alignment horizontal="left"/>
    </xf>
    <xf numFmtId="0" fontId="32" fillId="0" borderId="0" xfId="30" applyNumberFormat="1" applyFont="1" applyFill="1" applyBorder="1" applyAlignment="1" applyProtection="1">
      <alignment horizontal="center"/>
    </xf>
    <xf numFmtId="0" fontId="29" fillId="0" borderId="27" xfId="30" applyNumberFormat="1" applyFont="1" applyFill="1" applyBorder="1" applyAlignment="1" applyProtection="1">
      <alignment horizontal="left"/>
    </xf>
    <xf numFmtId="0" fontId="29" fillId="0" borderId="14" xfId="30" applyNumberFormat="1" applyFont="1" applyFill="1" applyBorder="1" applyAlignment="1" applyProtection="1">
      <alignment horizontal="center"/>
    </xf>
    <xf numFmtId="0" fontId="35" fillId="0" borderId="28" xfId="0" applyFont="1" applyBorder="1" applyAlignment="1" applyProtection="1">
      <alignment horizontal="center" wrapText="1"/>
    </xf>
    <xf numFmtId="0" fontId="30" fillId="0" borderId="0" xfId="0" applyFont="1" applyProtection="1"/>
    <xf numFmtId="41" fontId="28" fillId="0" borderId="0" xfId="55" applyNumberFormat="1" applyFont="1" applyProtection="1"/>
    <xf numFmtId="167" fontId="28" fillId="0" borderId="0" xfId="30" applyNumberFormat="1" applyFont="1" applyProtection="1"/>
    <xf numFmtId="170" fontId="28" fillId="0" borderId="0" xfId="127" applyNumberFormat="1" applyFont="1" applyProtection="1"/>
    <xf numFmtId="41" fontId="31" fillId="0" borderId="0" xfId="55" applyNumberFormat="1" applyFont="1" applyFill="1" applyProtection="1"/>
    <xf numFmtId="0" fontId="30" fillId="0" borderId="31" xfId="0" applyFont="1" applyBorder="1" applyProtection="1"/>
    <xf numFmtId="41" fontId="28" fillId="37" borderId="0" xfId="55" applyNumberFormat="1" applyFont="1" applyFill="1" applyAlignment="1" applyProtection="1">
      <alignment horizontal="center"/>
    </xf>
    <xf numFmtId="171" fontId="28" fillId="37" borderId="0" xfId="55" applyNumberFormat="1" applyFont="1" applyFill="1" applyAlignment="1" applyProtection="1">
      <alignment horizontal="center"/>
    </xf>
    <xf numFmtId="168" fontId="28" fillId="37" borderId="0" xfId="30" applyNumberFormat="1" applyFont="1" applyFill="1" applyProtection="1"/>
    <xf numFmtId="0" fontId="44" fillId="35" borderId="0" xfId="0" applyFont="1" applyFill="1" applyProtection="1"/>
    <xf numFmtId="0" fontId="45" fillId="35" borderId="0" xfId="0" applyFont="1" applyFill="1" applyAlignment="1" applyProtection="1">
      <alignment horizontal="right"/>
    </xf>
    <xf numFmtId="0" fontId="46" fillId="35" borderId="0" xfId="0" applyFont="1" applyFill="1" applyBorder="1" applyAlignment="1" applyProtection="1">
      <alignment vertical="center"/>
    </xf>
    <xf numFmtId="0" fontId="46" fillId="35" borderId="0" xfId="0" applyFont="1" applyFill="1" applyBorder="1" applyProtection="1"/>
    <xf numFmtId="0" fontId="45" fillId="35" borderId="0" xfId="0" applyFont="1" applyFill="1" applyProtection="1"/>
    <xf numFmtId="2" fontId="44" fillId="35" borderId="0" xfId="0" applyNumberFormat="1" applyFont="1" applyFill="1" applyProtection="1"/>
    <xf numFmtId="3" fontId="47" fillId="35" borderId="0" xfId="0" applyNumberFormat="1" applyFont="1" applyFill="1" applyAlignment="1" applyProtection="1">
      <alignment vertical="center"/>
    </xf>
    <xf numFmtId="0" fontId="46" fillId="35" borderId="0" xfId="0" applyFont="1" applyFill="1" applyProtection="1"/>
    <xf numFmtId="3" fontId="48" fillId="35" borderId="0" xfId="0" applyNumberFormat="1" applyFont="1" applyFill="1" applyProtection="1"/>
    <xf numFmtId="0" fontId="46" fillId="35" borderId="0" xfId="0" applyFont="1" applyFill="1" applyAlignment="1" applyProtection="1">
      <alignment vertical="center"/>
    </xf>
    <xf numFmtId="168" fontId="33" fillId="0" borderId="29" xfId="30" applyNumberFormat="1" applyFont="1" applyBorder="1" applyProtection="1"/>
    <xf numFmtId="0" fontId="49" fillId="0" borderId="0" xfId="0" applyFont="1"/>
    <xf numFmtId="0" fontId="21" fillId="0" borderId="0" xfId="89" applyFont="1"/>
    <xf numFmtId="0" fontId="51" fillId="0" borderId="0" xfId="89" applyFont="1"/>
    <xf numFmtId="0" fontId="21" fillId="0" borderId="0" xfId="89" applyFont="1" applyAlignment="1">
      <alignment horizontal="center"/>
    </xf>
    <xf numFmtId="0" fontId="51" fillId="0" borderId="0" xfId="89" applyFont="1" applyAlignment="1">
      <alignment horizontal="center"/>
    </xf>
    <xf numFmtId="9" fontId="52" fillId="0" borderId="0" xfId="131" applyFont="1"/>
    <xf numFmtId="0" fontId="54" fillId="0" borderId="0" xfId="89" applyFont="1"/>
    <xf numFmtId="168" fontId="52" fillId="0" borderId="0" xfId="89" applyNumberFormat="1" applyFont="1"/>
    <xf numFmtId="0" fontId="52" fillId="0" borderId="0" xfId="89" applyFont="1"/>
    <xf numFmtId="9" fontId="53" fillId="0" borderId="0" xfId="131" applyFont="1"/>
    <xf numFmtId="0" fontId="55" fillId="0" borderId="0" xfId="89" applyFont="1"/>
    <xf numFmtId="168" fontId="53" fillId="0" borderId="0" xfId="89" applyNumberFormat="1" applyFont="1"/>
    <xf numFmtId="0" fontId="53" fillId="0" borderId="0" xfId="89" applyFont="1"/>
    <xf numFmtId="0" fontId="56" fillId="0" borderId="0" xfId="0" applyFont="1" applyProtection="1">
      <protection locked="0"/>
    </xf>
    <xf numFmtId="0" fontId="59" fillId="0" borderId="0" xfId="0" applyFont="1" applyProtection="1"/>
    <xf numFmtId="0" fontId="59" fillId="0" borderId="0" xfId="0" applyFont="1" applyProtection="1">
      <protection locked="0"/>
    </xf>
    <xf numFmtId="0" fontId="59" fillId="0" borderId="0" xfId="0" applyFont="1"/>
    <xf numFmtId="0" fontId="59" fillId="0" borderId="44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/>
    </xf>
    <xf numFmtId="0" fontId="59" fillId="0" borderId="42" xfId="0" applyFont="1" applyBorder="1" applyAlignment="1">
      <alignment horizontal="center" wrapText="1"/>
    </xf>
    <xf numFmtId="0" fontId="59" fillId="0" borderId="0" xfId="0" applyFont="1" applyAlignment="1">
      <alignment horizontal="left" indent="1"/>
    </xf>
    <xf numFmtId="41" fontId="59" fillId="0" borderId="42" xfId="0" applyNumberFormat="1" applyFont="1" applyBorder="1" applyAlignment="1">
      <alignment horizontal="center"/>
    </xf>
    <xf numFmtId="41" fontId="59" fillId="0" borderId="42" xfId="0" applyNumberFormat="1" applyFont="1" applyBorder="1" applyAlignment="1">
      <alignment horizontal="center" wrapText="1"/>
    </xf>
    <xf numFmtId="10" fontId="59" fillId="0" borderId="0" xfId="128" applyNumberFormat="1" applyFont="1"/>
    <xf numFmtId="0" fontId="62" fillId="0" borderId="0" xfId="0" applyFont="1" applyAlignment="1">
      <alignment horizontal="left" indent="1"/>
    </xf>
    <xf numFmtId="174" fontId="66" fillId="0" borderId="0" xfId="129" applyNumberFormat="1" applyFont="1" applyAlignment="1">
      <alignment horizontal="center"/>
    </xf>
    <xf numFmtId="41" fontId="59" fillId="0" borderId="42" xfId="0" applyNumberFormat="1" applyFont="1" applyBorder="1"/>
    <xf numFmtId="174" fontId="59" fillId="0" borderId="0" xfId="0" applyNumberFormat="1" applyFont="1"/>
    <xf numFmtId="10" fontId="59" fillId="38" borderId="0" xfId="0" applyNumberFormat="1" applyFont="1" applyFill="1"/>
    <xf numFmtId="0" fontId="59" fillId="38" borderId="0" xfId="0" applyFont="1" applyFill="1" applyAlignment="1">
      <alignment horizontal="left" indent="2"/>
    </xf>
    <xf numFmtId="41" fontId="59" fillId="38" borderId="42" xfId="0" applyNumberFormat="1" applyFont="1" applyFill="1" applyBorder="1" applyAlignment="1">
      <alignment horizontal="center"/>
    </xf>
    <xf numFmtId="0" fontId="57" fillId="0" borderId="44" xfId="89" applyFont="1" applyBorder="1" applyAlignment="1">
      <alignment horizontal="right" wrapText="1"/>
    </xf>
    <xf numFmtId="0" fontId="70" fillId="42" borderId="44" xfId="89" applyFont="1" applyFill="1" applyBorder="1" applyAlignment="1">
      <alignment wrapText="1"/>
    </xf>
    <xf numFmtId="0" fontId="71" fillId="0" borderId="44" xfId="89" applyFont="1" applyBorder="1" applyAlignment="1">
      <alignment horizontal="center" wrapText="1"/>
    </xf>
    <xf numFmtId="0" fontId="60" fillId="0" borderId="44" xfId="89" applyFont="1" applyBorder="1" applyAlignment="1">
      <alignment horizontal="center"/>
    </xf>
    <xf numFmtId="168" fontId="57" fillId="23" borderId="44" xfId="130" applyNumberFormat="1" applyFont="1" applyFill="1" applyBorder="1" applyAlignment="1">
      <alignment horizontal="center"/>
    </xf>
    <xf numFmtId="0" fontId="71" fillId="43" borderId="44" xfId="89" applyFont="1" applyFill="1" applyBorder="1" applyAlignment="1">
      <alignment horizontal="center" wrapText="1"/>
    </xf>
    <xf numFmtId="0" fontId="72" fillId="42" borderId="44" xfId="89" applyFont="1" applyFill="1" applyBorder="1" applyAlignment="1">
      <alignment horizontal="center" wrapText="1"/>
    </xf>
    <xf numFmtId="0" fontId="71" fillId="29" borderId="44" xfId="89" applyFont="1" applyFill="1" applyBorder="1" applyAlignment="1">
      <alignment horizontal="center" wrapText="1"/>
    </xf>
    <xf numFmtId="0" fontId="73" fillId="0" borderId="44" xfId="89" applyFont="1" applyBorder="1"/>
    <xf numFmtId="168" fontId="74" fillId="23" borderId="44" xfId="130" applyNumberFormat="1" applyFont="1" applyFill="1" applyBorder="1"/>
    <xf numFmtId="10" fontId="74" fillId="23" borderId="44" xfId="131" applyNumberFormat="1" applyFont="1" applyFill="1" applyBorder="1" applyAlignment="1">
      <alignment horizontal="center"/>
    </xf>
    <xf numFmtId="168" fontId="74" fillId="0" borderId="44" xfId="130" applyNumberFormat="1" applyFont="1" applyBorder="1"/>
    <xf numFmtId="168" fontId="74" fillId="43" borderId="44" xfId="130" applyNumberFormat="1" applyFont="1" applyFill="1" applyBorder="1"/>
    <xf numFmtId="168" fontId="74" fillId="43" borderId="44" xfId="132" applyNumberFormat="1" applyFont="1" applyFill="1" applyBorder="1"/>
    <xf numFmtId="168" fontId="74" fillId="0" borderId="44" xfId="130" applyNumberFormat="1" applyFont="1" applyFill="1" applyBorder="1"/>
    <xf numFmtId="168" fontId="74" fillId="0" borderId="44" xfId="130" applyNumberFormat="1" applyFont="1" applyFill="1" applyBorder="1" applyAlignment="1">
      <alignment horizontal="center" wrapText="1"/>
    </xf>
    <xf numFmtId="168" fontId="75" fillId="0" borderId="44" xfId="130" applyNumberFormat="1" applyFont="1" applyFill="1" applyBorder="1" applyAlignment="1">
      <alignment horizontal="center" wrapText="1"/>
    </xf>
    <xf numFmtId="168" fontId="76" fillId="42" borderId="44" xfId="89" applyNumberFormat="1" applyFont="1" applyFill="1" applyBorder="1"/>
    <xf numFmtId="10" fontId="74" fillId="29" borderId="44" xfId="131" applyNumberFormat="1" applyFont="1" applyFill="1" applyBorder="1"/>
    <xf numFmtId="10" fontId="74" fillId="0" borderId="44" xfId="131" applyNumberFormat="1" applyFont="1" applyBorder="1"/>
    <xf numFmtId="0" fontId="74" fillId="0" borderId="44" xfId="89" applyFont="1" applyBorder="1"/>
    <xf numFmtId="0" fontId="75" fillId="0" borderId="44" xfId="89" applyFont="1" applyBorder="1"/>
    <xf numFmtId="10" fontId="75" fillId="0" borderId="44" xfId="89" applyNumberFormat="1" applyFont="1" applyBorder="1"/>
    <xf numFmtId="168" fontId="75" fillId="0" borderId="44" xfId="89" applyNumberFormat="1" applyFont="1" applyBorder="1"/>
    <xf numFmtId="168" fontId="75" fillId="43" borderId="44" xfId="89" applyNumberFormat="1" applyFont="1" applyFill="1" applyBorder="1"/>
    <xf numFmtId="0" fontId="77" fillId="42" borderId="44" xfId="89" applyFont="1" applyFill="1" applyBorder="1"/>
    <xf numFmtId="0" fontId="60" fillId="0" borderId="0" xfId="89" applyFont="1"/>
    <xf numFmtId="9" fontId="60" fillId="0" borderId="0" xfId="89" applyNumberFormat="1" applyFont="1"/>
    <xf numFmtId="0" fontId="61" fillId="0" borderId="0" xfId="89" applyFont="1"/>
    <xf numFmtId="0" fontId="61" fillId="0" borderId="0" xfId="89" applyFont="1" applyAlignment="1">
      <alignment horizontal="right"/>
    </xf>
    <xf numFmtId="166" fontId="61" fillId="0" borderId="0" xfId="131" applyNumberFormat="1" applyFont="1" applyFill="1"/>
    <xf numFmtId="166" fontId="61" fillId="0" borderId="0" xfId="131" applyNumberFormat="1" applyFont="1" applyFill="1" applyBorder="1"/>
    <xf numFmtId="166" fontId="60" fillId="0" borderId="0" xfId="131" applyNumberFormat="1" applyFont="1" applyFill="1" applyBorder="1"/>
    <xf numFmtId="168" fontId="60" fillId="0" borderId="0" xfId="89" applyNumberFormat="1" applyFont="1"/>
    <xf numFmtId="0" fontId="78" fillId="0" borderId="0" xfId="89" applyFont="1"/>
    <xf numFmtId="10" fontId="60" fillId="0" borderId="0" xfId="89" applyNumberFormat="1" applyFont="1"/>
    <xf numFmtId="43" fontId="60" fillId="0" borderId="0" xfId="89" applyNumberFormat="1" applyFont="1"/>
    <xf numFmtId="0" fontId="79" fillId="0" borderId="0" xfId="89" applyFont="1"/>
    <xf numFmtId="9" fontId="60" fillId="0" borderId="0" xfId="131" applyFont="1"/>
    <xf numFmtId="0" fontId="60" fillId="0" borderId="15" xfId="89" applyFont="1" applyBorder="1" applyAlignment="1">
      <alignment horizontal="right"/>
    </xf>
    <xf numFmtId="170" fontId="60" fillId="0" borderId="17" xfId="127" applyNumberFormat="1" applyFont="1" applyBorder="1"/>
    <xf numFmtId="0" fontId="60" fillId="0" borderId="51" xfId="89" applyFont="1" applyBorder="1" applyAlignment="1">
      <alignment horizontal="right"/>
    </xf>
    <xf numFmtId="170" fontId="60" fillId="0" borderId="52" xfId="127" applyNumberFormat="1" applyFont="1" applyBorder="1"/>
    <xf numFmtId="0" fontId="60" fillId="0" borderId="20" xfId="89" applyFont="1" applyBorder="1" applyAlignment="1">
      <alignment horizontal="right"/>
    </xf>
    <xf numFmtId="170" fontId="60" fillId="0" borderId="22" xfId="89" applyNumberFormat="1" applyFont="1" applyBorder="1"/>
    <xf numFmtId="0" fontId="80" fillId="0" borderId="0" xfId="89" applyFont="1"/>
    <xf numFmtId="0" fontId="60" fillId="0" borderId="0" xfId="89" applyFont="1" applyAlignment="1">
      <alignment horizontal="center"/>
    </xf>
    <xf numFmtId="0" fontId="80" fillId="0" borderId="0" xfId="89" applyFont="1" applyAlignment="1">
      <alignment horizontal="center"/>
    </xf>
    <xf numFmtId="9" fontId="74" fillId="0" borderId="0" xfId="131" applyFont="1"/>
    <xf numFmtId="0" fontId="81" fillId="0" borderId="0" xfId="89" applyFont="1"/>
    <xf numFmtId="168" fontId="74" fillId="0" borderId="0" xfId="89" applyNumberFormat="1" applyFont="1"/>
    <xf numFmtId="0" fontId="74" fillId="0" borderId="0" xfId="89" applyFont="1"/>
    <xf numFmtId="9" fontId="75" fillId="0" borderId="0" xfId="131" applyFont="1"/>
    <xf numFmtId="0" fontId="63" fillId="0" borderId="0" xfId="89" applyFont="1"/>
    <xf numFmtId="168" fontId="75" fillId="0" borderId="0" xfId="89" applyNumberFormat="1" applyFont="1"/>
    <xf numFmtId="0" fontId="75" fillId="0" borderId="0" xfId="89" applyFont="1"/>
    <xf numFmtId="9" fontId="59" fillId="0" borderId="0" xfId="128" applyFont="1"/>
    <xf numFmtId="0" fontId="58" fillId="0" borderId="15" xfId="0" applyFont="1" applyBorder="1"/>
    <xf numFmtId="0" fontId="59" fillId="0" borderId="16" xfId="0" applyFont="1" applyBorder="1"/>
    <xf numFmtId="9" fontId="59" fillId="0" borderId="16" xfId="128" applyFont="1" applyBorder="1"/>
    <xf numFmtId="0" fontId="59" fillId="0" borderId="17" xfId="0" applyFont="1" applyBorder="1"/>
    <xf numFmtId="0" fontId="82" fillId="0" borderId="18" xfId="0" applyFont="1" applyBorder="1"/>
    <xf numFmtId="0" fontId="59" fillId="0" borderId="0" xfId="0" applyFont="1" applyBorder="1"/>
    <xf numFmtId="9" fontId="59" fillId="0" borderId="0" xfId="128" applyFont="1" applyBorder="1"/>
    <xf numFmtId="0" fontId="59" fillId="0" borderId="19" xfId="0" applyFont="1" applyBorder="1"/>
    <xf numFmtId="0" fontId="83" fillId="0" borderId="18" xfId="0" applyFont="1" applyBorder="1"/>
    <xf numFmtId="0" fontId="64" fillId="0" borderId="18" xfId="0" applyFont="1" applyBorder="1" applyAlignment="1">
      <alignment horizontal="center"/>
    </xf>
    <xf numFmtId="0" fontId="59" fillId="0" borderId="18" xfId="0" applyFont="1" applyBorder="1"/>
    <xf numFmtId="10" fontId="59" fillId="0" borderId="0" xfId="128" applyNumberFormat="1" applyFont="1" applyBorder="1"/>
    <xf numFmtId="0" fontId="59" fillId="0" borderId="0" xfId="0" applyFont="1" applyFill="1" applyBorder="1"/>
    <xf numFmtId="43" fontId="59" fillId="0" borderId="0" xfId="30" applyFont="1" applyBorder="1"/>
    <xf numFmtId="170" fontId="59" fillId="0" borderId="0" xfId="127" applyNumberFormat="1" applyFont="1" applyBorder="1"/>
    <xf numFmtId="0" fontId="64" fillId="0" borderId="0" xfId="0" applyFont="1" applyFill="1" applyBorder="1"/>
    <xf numFmtId="0" fontId="85" fillId="0" borderId="20" xfId="0" applyFont="1" applyBorder="1"/>
    <xf numFmtId="0" fontId="59" fillId="0" borderId="21" xfId="0" applyFont="1" applyBorder="1"/>
    <xf numFmtId="9" fontId="59" fillId="0" borderId="21" xfId="128" applyFont="1" applyBorder="1"/>
    <xf numFmtId="0" fontId="59" fillId="0" borderId="22" xfId="0" applyFont="1" applyBorder="1"/>
    <xf numFmtId="0" fontId="63" fillId="28" borderId="26" xfId="0" applyFont="1" applyFill="1" applyBorder="1" applyAlignment="1" applyProtection="1">
      <alignment horizontal="center"/>
      <protection locked="0"/>
    </xf>
    <xf numFmtId="0" fontId="62" fillId="26" borderId="23" xfId="0" applyFont="1" applyFill="1" applyBorder="1" applyAlignment="1" applyProtection="1">
      <alignment horizontal="center"/>
      <protection locked="0"/>
    </xf>
    <xf numFmtId="0" fontId="62" fillId="26" borderId="25" xfId="0" applyFont="1" applyFill="1" applyBorder="1" applyAlignment="1" applyProtection="1">
      <alignment horizontal="center"/>
      <protection locked="0"/>
    </xf>
    <xf numFmtId="0" fontId="62" fillId="0" borderId="0" xfId="0" applyFont="1" applyFill="1" applyBorder="1" applyAlignment="1" applyProtection="1">
      <alignment horizontal="center"/>
      <protection locked="0"/>
    </xf>
    <xf numFmtId="0" fontId="64" fillId="0" borderId="0" xfId="0" applyFont="1" applyProtection="1">
      <protection locked="0"/>
    </xf>
    <xf numFmtId="41" fontId="59" fillId="0" borderId="42" xfId="0" applyNumberFormat="1" applyFont="1" applyBorder="1" applyAlignment="1" applyProtection="1">
      <alignment horizontal="center"/>
      <protection locked="0"/>
    </xf>
    <xf numFmtId="41" fontId="59" fillId="0" borderId="42" xfId="0" applyNumberFormat="1" applyFont="1" applyBorder="1" applyAlignment="1" applyProtection="1">
      <alignment horizontal="center" wrapText="1"/>
      <protection locked="0"/>
    </xf>
    <xf numFmtId="41" fontId="59" fillId="0" borderId="42" xfId="0" applyNumberFormat="1" applyFont="1" applyBorder="1" applyAlignment="1" applyProtection="1">
      <alignment horizontal="right"/>
      <protection locked="0"/>
    </xf>
    <xf numFmtId="41" fontId="59" fillId="0" borderId="42" xfId="0" applyNumberFormat="1" applyFont="1" applyBorder="1" applyProtection="1">
      <protection locked="0"/>
    </xf>
    <xf numFmtId="41" fontId="67" fillId="0" borderId="42" xfId="0" applyNumberFormat="1" applyFont="1" applyBorder="1" applyProtection="1">
      <protection locked="0"/>
    </xf>
    <xf numFmtId="41" fontId="59" fillId="38" borderId="42" xfId="0" applyNumberFormat="1" applyFont="1" applyFill="1" applyBorder="1" applyAlignment="1" applyProtection="1">
      <alignment horizontal="center"/>
      <protection locked="0"/>
    </xf>
    <xf numFmtId="170" fontId="30" fillId="0" borderId="0" xfId="0" applyNumberFormat="1" applyFont="1" applyProtection="1"/>
    <xf numFmtId="166" fontId="65" fillId="0" borderId="42" xfId="128" applyNumberFormat="1" applyFont="1" applyBorder="1" applyProtection="1"/>
    <xf numFmtId="41" fontId="59" fillId="38" borderId="42" xfId="0" applyNumberFormat="1" applyFont="1" applyFill="1" applyBorder="1" applyAlignment="1" applyProtection="1">
      <alignment horizontal="right"/>
    </xf>
    <xf numFmtId="0" fontId="56" fillId="0" borderId="0" xfId="0" applyFont="1" applyProtection="1"/>
    <xf numFmtId="170" fontId="56" fillId="0" borderId="0" xfId="127" applyNumberFormat="1" applyFont="1" applyProtection="1"/>
    <xf numFmtId="10" fontId="56" fillId="0" borderId="0" xfId="128" applyNumberFormat="1" applyFont="1" applyProtection="1"/>
    <xf numFmtId="170" fontId="56" fillId="0" borderId="0" xfId="127" applyNumberFormat="1" applyFont="1" applyProtection="1">
      <protection locked="0"/>
    </xf>
    <xf numFmtId="172" fontId="56" fillId="0" borderId="0" xfId="0" applyNumberFormat="1" applyFont="1" applyProtection="1">
      <protection locked="0"/>
    </xf>
    <xf numFmtId="44" fontId="56" fillId="0" borderId="0" xfId="0" applyNumberFormat="1" applyFont="1" applyProtection="1"/>
    <xf numFmtId="166" fontId="56" fillId="0" borderId="0" xfId="128" applyNumberFormat="1" applyFont="1" applyProtection="1"/>
    <xf numFmtId="0" fontId="0" fillId="0" borderId="0" xfId="0" applyAlignment="1">
      <alignment horizontal="right"/>
    </xf>
    <xf numFmtId="0" fontId="29" fillId="38" borderId="12" xfId="0" applyFont="1" applyFill="1" applyBorder="1" applyProtection="1"/>
    <xf numFmtId="170" fontId="29" fillId="38" borderId="12" xfId="127" applyNumberFormat="1" applyFont="1" applyFill="1" applyBorder="1" applyProtection="1"/>
    <xf numFmtId="170" fontId="29" fillId="38" borderId="30" xfId="127" applyNumberFormat="1" applyFont="1" applyFill="1" applyBorder="1" applyProtection="1"/>
    <xf numFmtId="170" fontId="29" fillId="38" borderId="12" xfId="127" applyNumberFormat="1" applyFont="1" applyFill="1" applyBorder="1" applyProtection="1">
      <protection locked="0"/>
    </xf>
    <xf numFmtId="0" fontId="29" fillId="46" borderId="12" xfId="0" applyFont="1" applyFill="1" applyBorder="1" applyProtection="1"/>
    <xf numFmtId="170" fontId="29" fillId="46" borderId="12" xfId="127" applyNumberFormat="1" applyFont="1" applyFill="1" applyBorder="1" applyProtection="1"/>
    <xf numFmtId="170" fontId="29" fillId="46" borderId="30" xfId="127" applyNumberFormat="1" applyFont="1" applyFill="1" applyBorder="1" applyProtection="1"/>
    <xf numFmtId="41" fontId="29" fillId="46" borderId="12" xfId="0" applyNumberFormat="1" applyFont="1" applyFill="1" applyBorder="1" applyProtection="1">
      <protection locked="0"/>
    </xf>
    <xf numFmtId="0" fontId="59" fillId="0" borderId="0" xfId="0" applyFont="1" applyAlignment="1" applyProtection="1">
      <alignment horizontal="left" indent="1"/>
    </xf>
    <xf numFmtId="41" fontId="59" fillId="0" borderId="42" xfId="0" applyNumberFormat="1" applyFont="1" applyBorder="1" applyProtection="1"/>
    <xf numFmtId="41" fontId="59" fillId="40" borderId="42" xfId="0" applyNumberFormat="1" applyFont="1" applyFill="1" applyBorder="1" applyProtection="1"/>
    <xf numFmtId="0" fontId="49" fillId="0" borderId="0" xfId="0" applyFont="1" applyProtection="1"/>
    <xf numFmtId="0" fontId="59" fillId="40" borderId="44" xfId="0" applyFont="1" applyFill="1" applyBorder="1" applyAlignment="1" applyProtection="1">
      <alignment horizontal="center" vertical="center" wrapText="1"/>
    </xf>
    <xf numFmtId="0" fontId="59" fillId="40" borderId="42" xfId="0" applyFont="1" applyFill="1" applyBorder="1" applyAlignment="1" applyProtection="1">
      <alignment horizontal="center" wrapText="1"/>
    </xf>
    <xf numFmtId="41" fontId="59" fillId="40" borderId="42" xfId="0" applyNumberFormat="1" applyFont="1" applyFill="1" applyBorder="1" applyAlignment="1" applyProtection="1">
      <alignment horizontal="center" wrapText="1"/>
    </xf>
    <xf numFmtId="41" fontId="62" fillId="40" borderId="44" xfId="0" applyNumberFormat="1" applyFont="1" applyFill="1" applyBorder="1" applyAlignment="1" applyProtection="1">
      <alignment horizontal="center" wrapText="1"/>
    </xf>
    <xf numFmtId="41" fontId="67" fillId="40" borderId="42" xfId="0" applyNumberFormat="1" applyFont="1" applyFill="1" applyBorder="1" applyProtection="1"/>
    <xf numFmtId="41" fontId="62" fillId="40" borderId="44" xfId="0" applyNumberFormat="1" applyFont="1" applyFill="1" applyBorder="1" applyProtection="1"/>
    <xf numFmtId="41" fontId="62" fillId="40" borderId="44" xfId="0" applyNumberFormat="1" applyFont="1" applyFill="1" applyBorder="1" applyAlignment="1" applyProtection="1">
      <alignment horizontal="center"/>
    </xf>
    <xf numFmtId="0" fontId="36" fillId="0" borderId="0" xfId="30" applyNumberFormat="1" applyFont="1" applyFill="1" applyBorder="1" applyAlignment="1" applyProtection="1">
      <alignment horizontal="left"/>
      <protection locked="0"/>
    </xf>
    <xf numFmtId="0" fontId="33" fillId="47" borderId="0" xfId="30" applyNumberFormat="1" applyFont="1" applyFill="1" applyBorder="1" applyAlignment="1" applyProtection="1">
      <alignment horizontal="left"/>
      <protection locked="0"/>
    </xf>
    <xf numFmtId="0" fontId="86" fillId="0" borderId="0" xfId="30" applyNumberFormat="1" applyFont="1" applyFill="1" applyBorder="1" applyAlignment="1" applyProtection="1">
      <alignment horizontal="center"/>
      <protection locked="0"/>
    </xf>
    <xf numFmtId="0" fontId="29" fillId="0" borderId="0" xfId="30" applyNumberFormat="1" applyFont="1" applyFill="1" applyBorder="1" applyAlignment="1" applyProtection="1">
      <protection locked="0"/>
    </xf>
    <xf numFmtId="9" fontId="33" fillId="47" borderId="0" xfId="128" applyFont="1" applyFill="1" applyBorder="1" applyAlignment="1" applyProtection="1">
      <alignment horizontal="center"/>
      <protection locked="0"/>
    </xf>
    <xf numFmtId="0" fontId="29" fillId="0" borderId="0" xfId="30" quotePrefix="1" applyNumberFormat="1" applyFont="1" applyFill="1" applyBorder="1" applyAlignment="1" applyProtection="1">
      <alignment horizontal="left"/>
      <protection locked="0"/>
    </xf>
    <xf numFmtId="0" fontId="33" fillId="47" borderId="0" xfId="30" applyNumberFormat="1" applyFont="1" applyFill="1" applyBorder="1" applyAlignment="1" applyProtection="1">
      <alignment horizontal="center"/>
      <protection locked="0"/>
    </xf>
    <xf numFmtId="0" fontId="29" fillId="0" borderId="0" xfId="30" applyNumberFormat="1" applyFont="1" applyFill="1" applyBorder="1" applyAlignment="1" applyProtection="1">
      <alignment horizontal="center"/>
      <protection locked="0"/>
    </xf>
    <xf numFmtId="0" fontId="29" fillId="0" borderId="0" xfId="30" applyNumberFormat="1" applyFont="1" applyFill="1" applyBorder="1" applyAlignment="1" applyProtection="1">
      <alignment horizontal="center" wrapText="1"/>
      <protection locked="0"/>
    </xf>
    <xf numFmtId="0" fontId="29" fillId="0" borderId="14" xfId="30" applyNumberFormat="1" applyFont="1" applyFill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 wrapText="1"/>
      <protection locked="0"/>
    </xf>
    <xf numFmtId="0" fontId="28" fillId="0" borderId="0" xfId="55" applyFont="1" applyFill="1" applyAlignment="1" applyProtection="1">
      <alignment horizontal="left" indent="2"/>
      <protection locked="0"/>
    </xf>
    <xf numFmtId="0" fontId="88" fillId="39" borderId="0" xfId="55" applyFont="1" applyFill="1" applyAlignment="1" applyProtection="1">
      <alignment horizontal="center"/>
      <protection locked="0"/>
    </xf>
    <xf numFmtId="41" fontId="28" fillId="31" borderId="0" xfId="55" applyNumberFormat="1" applyFont="1" applyFill="1" applyAlignment="1" applyProtection="1">
      <alignment horizontal="center"/>
      <protection locked="0"/>
    </xf>
    <xf numFmtId="41" fontId="28" fillId="0" borderId="0" xfId="55" applyNumberFormat="1" applyFont="1" applyProtection="1">
      <protection locked="0"/>
    </xf>
    <xf numFmtId="0" fontId="28" fillId="0" borderId="0" xfId="55" applyFont="1" applyFill="1" applyProtection="1">
      <protection locked="0"/>
    </xf>
    <xf numFmtId="175" fontId="28" fillId="31" borderId="0" xfId="55" applyNumberFormat="1" applyFont="1" applyFill="1" applyAlignment="1" applyProtection="1">
      <alignment horizontal="center"/>
      <protection locked="0"/>
    </xf>
    <xf numFmtId="167" fontId="28" fillId="0" borderId="0" xfId="30" applyNumberFormat="1" applyFont="1" applyProtection="1">
      <protection locked="0"/>
    </xf>
    <xf numFmtId="170" fontId="28" fillId="31" borderId="0" xfId="127" applyNumberFormat="1" applyFont="1" applyFill="1" applyProtection="1">
      <protection locked="0"/>
    </xf>
    <xf numFmtId="170" fontId="28" fillId="0" borderId="0" xfId="127" applyNumberFormat="1" applyFont="1" applyProtection="1">
      <protection locked="0"/>
    </xf>
    <xf numFmtId="170" fontId="28" fillId="0" borderId="0" xfId="127" applyNumberFormat="1" applyFont="1" applyFill="1" applyProtection="1">
      <protection locked="0"/>
    </xf>
    <xf numFmtId="0" fontId="89" fillId="0" borderId="0" xfId="0" applyFont="1" applyProtection="1">
      <protection locked="0"/>
    </xf>
    <xf numFmtId="0" fontId="28" fillId="0" borderId="0" xfId="55" applyFont="1" applyFill="1" applyProtection="1"/>
    <xf numFmtId="0" fontId="41" fillId="0" borderId="0" xfId="55" applyFont="1" applyFill="1" applyProtection="1"/>
    <xf numFmtId="0" fontId="28" fillId="0" borderId="0" xfId="55" applyFont="1" applyProtection="1">
      <protection locked="0"/>
    </xf>
    <xf numFmtId="0" fontId="38" fillId="0" borderId="0" xfId="55" applyFont="1" applyFill="1" applyAlignment="1" applyProtection="1">
      <alignment horizontal="left" indent="2"/>
      <protection locked="0"/>
    </xf>
    <xf numFmtId="168" fontId="28" fillId="31" borderId="0" xfId="30" applyNumberFormat="1" applyFont="1" applyFill="1" applyProtection="1">
      <protection locked="0"/>
    </xf>
    <xf numFmtId="0" fontId="29" fillId="38" borderId="38" xfId="0" applyFont="1" applyFill="1" applyBorder="1" applyProtection="1"/>
    <xf numFmtId="170" fontId="29" fillId="38" borderId="38" xfId="127" applyNumberFormat="1" applyFont="1" applyFill="1" applyBorder="1" applyProtection="1"/>
    <xf numFmtId="170" fontId="29" fillId="38" borderId="39" xfId="127" applyNumberFormat="1" applyFont="1" applyFill="1" applyBorder="1" applyProtection="1"/>
    <xf numFmtId="170" fontId="29" fillId="0" borderId="18" xfId="127" applyNumberFormat="1" applyFont="1" applyFill="1" applyBorder="1" applyProtection="1">
      <protection locked="0"/>
    </xf>
    <xf numFmtId="10" fontId="28" fillId="0" borderId="0" xfId="128" applyNumberFormat="1" applyFont="1" applyFill="1" applyAlignment="1" applyProtection="1">
      <alignment horizontal="center"/>
    </xf>
    <xf numFmtId="168" fontId="30" fillId="0" borderId="0" xfId="30" applyNumberFormat="1" applyFont="1" applyProtection="1"/>
    <xf numFmtId="168" fontId="29" fillId="0" borderId="0" xfId="30" applyNumberFormat="1" applyFont="1" applyFill="1" applyProtection="1"/>
    <xf numFmtId="168" fontId="28" fillId="0" borderId="29" xfId="30" applyNumberFormat="1" applyFont="1" applyFill="1" applyBorder="1" applyProtection="1"/>
    <xf numFmtId="0" fontId="33" fillId="0" borderId="0" xfId="0" applyFont="1" applyProtection="1">
      <protection locked="0"/>
    </xf>
    <xf numFmtId="10" fontId="28" fillId="31" borderId="0" xfId="128" applyNumberFormat="1" applyFont="1" applyFill="1" applyAlignment="1" applyProtection="1">
      <alignment horizontal="center"/>
      <protection locked="0"/>
    </xf>
    <xf numFmtId="168" fontId="30" fillId="30" borderId="0" xfId="30" applyNumberFormat="1" applyFont="1" applyFill="1" applyProtection="1">
      <protection locked="0"/>
    </xf>
    <xf numFmtId="168" fontId="30" fillId="0" borderId="29" xfId="30" applyNumberFormat="1" applyFont="1" applyBorder="1" applyProtection="1"/>
    <xf numFmtId="168" fontId="30" fillId="0" borderId="0" xfId="30" applyNumberFormat="1" applyFont="1" applyProtection="1">
      <protection locked="0"/>
    </xf>
    <xf numFmtId="10" fontId="28" fillId="26" borderId="0" xfId="128" applyNumberFormat="1" applyFont="1" applyFill="1" applyAlignment="1" applyProtection="1">
      <alignment horizontal="center"/>
    </xf>
    <xf numFmtId="0" fontId="37" fillId="0" borderId="0" xfId="55" applyFont="1" applyFill="1" applyAlignment="1" applyProtection="1">
      <alignment horizontal="left" indent="2"/>
    </xf>
    <xf numFmtId="0" fontId="38" fillId="0" borderId="0" xfId="55" applyFont="1" applyFill="1" applyProtection="1">
      <protection locked="0"/>
    </xf>
    <xf numFmtId="41" fontId="28" fillId="0" borderId="0" xfId="55" applyNumberFormat="1" applyFont="1"/>
    <xf numFmtId="41" fontId="28" fillId="0" borderId="0" xfId="0" applyNumberFormat="1" applyFont="1" applyFill="1" applyProtection="1">
      <protection locked="0"/>
    </xf>
    <xf numFmtId="41" fontId="28" fillId="31" borderId="0" xfId="55" applyNumberFormat="1" applyFont="1" applyFill="1" applyProtection="1">
      <protection locked="0"/>
    </xf>
    <xf numFmtId="41" fontId="29" fillId="0" borderId="29" xfId="55" applyNumberFormat="1" applyFont="1" applyFill="1" applyBorder="1" applyProtection="1">
      <protection locked="0"/>
    </xf>
    <xf numFmtId="0" fontId="29" fillId="27" borderId="12" xfId="0" applyFont="1" applyFill="1" applyBorder="1" applyProtection="1"/>
    <xf numFmtId="170" fontId="29" fillId="27" borderId="12" xfId="127" applyNumberFormat="1" applyFont="1" applyFill="1" applyBorder="1" applyProtection="1"/>
    <xf numFmtId="170" fontId="29" fillId="27" borderId="30" xfId="127" applyNumberFormat="1" applyFont="1" applyFill="1" applyBorder="1" applyProtection="1"/>
    <xf numFmtId="41" fontId="29" fillId="27" borderId="12" xfId="0" applyNumberFormat="1" applyFont="1" applyFill="1" applyBorder="1" applyProtection="1">
      <protection locked="0"/>
    </xf>
    <xf numFmtId="41" fontId="29" fillId="0" borderId="18" xfId="0" applyNumberFormat="1" applyFont="1" applyFill="1" applyBorder="1" applyProtection="1">
      <protection locked="0"/>
    </xf>
    <xf numFmtId="0" fontId="29" fillId="0" borderId="0" xfId="0" applyFont="1" applyFill="1" applyBorder="1" applyProtection="1"/>
    <xf numFmtId="0" fontId="41" fillId="0" borderId="0" xfId="55" applyFont="1" applyProtection="1"/>
    <xf numFmtId="168" fontId="29" fillId="0" borderId="0" xfId="55" applyNumberFormat="1" applyFont="1" applyFill="1" applyProtection="1"/>
    <xf numFmtId="0" fontId="37" fillId="0" borderId="0" xfId="0" applyFont="1" applyFill="1" applyBorder="1" applyProtection="1"/>
    <xf numFmtId="166" fontId="37" fillId="0" borderId="0" xfId="128" applyNumberFormat="1" applyFont="1" applyFill="1" applyBorder="1" applyProtection="1"/>
    <xf numFmtId="170" fontId="37" fillId="0" borderId="0" xfId="127" applyNumberFormat="1" applyFont="1" applyFill="1" applyBorder="1" applyProtection="1"/>
    <xf numFmtId="41" fontId="37" fillId="0" borderId="0" xfId="0" applyNumberFormat="1" applyFont="1" applyFill="1" applyBorder="1" applyProtection="1">
      <protection locked="0"/>
    </xf>
    <xf numFmtId="0" fontId="90" fillId="0" borderId="0" xfId="55" applyFont="1" applyProtection="1">
      <protection locked="0"/>
    </xf>
    <xf numFmtId="10" fontId="28" fillId="0" borderId="0" xfId="128" applyNumberFormat="1" applyFont="1" applyFill="1" applyProtection="1">
      <protection locked="0"/>
    </xf>
    <xf numFmtId="41" fontId="28" fillId="0" borderId="31" xfId="55" applyNumberFormat="1" applyFont="1" applyFill="1" applyBorder="1" applyProtection="1">
      <protection locked="0"/>
    </xf>
    <xf numFmtId="170" fontId="28" fillId="0" borderId="0" xfId="128" applyNumberFormat="1" applyFont="1" applyFill="1" applyProtection="1">
      <protection locked="0"/>
    </xf>
    <xf numFmtId="166" fontId="28" fillId="0" borderId="0" xfId="128" applyNumberFormat="1" applyFont="1" applyFill="1" applyProtection="1">
      <protection locked="0"/>
    </xf>
    <xf numFmtId="44" fontId="90" fillId="0" borderId="0" xfId="127" applyFont="1" applyFill="1" applyProtection="1">
      <protection locked="0"/>
    </xf>
    <xf numFmtId="166" fontId="28" fillId="0" borderId="0" xfId="128" applyNumberFormat="1" applyFont="1" applyProtection="1">
      <protection locked="0"/>
    </xf>
    <xf numFmtId="170" fontId="30" fillId="0" borderId="0" xfId="127" applyNumberFormat="1" applyFont="1" applyProtection="1">
      <protection locked="0"/>
    </xf>
    <xf numFmtId="10" fontId="30" fillId="0" borderId="0" xfId="128" applyNumberFormat="1" applyFont="1" applyProtection="1">
      <protection locked="0"/>
    </xf>
    <xf numFmtId="176" fontId="30" fillId="0" borderId="0" xfId="128" applyNumberFormat="1" applyFont="1" applyProtection="1">
      <protection locked="0"/>
    </xf>
    <xf numFmtId="170" fontId="30" fillId="0" borderId="0" xfId="0" applyNumberFormat="1" applyFont="1" applyProtection="1">
      <protection locked="0"/>
    </xf>
    <xf numFmtId="44" fontId="30" fillId="0" borderId="0" xfId="0" applyNumberFormat="1" applyFont="1" applyProtection="1">
      <protection locked="0"/>
    </xf>
    <xf numFmtId="0" fontId="49" fillId="35" borderId="0" xfId="0" applyFont="1" applyFill="1" applyProtection="1"/>
    <xf numFmtId="0" fontId="91" fillId="35" borderId="0" xfId="0" applyFont="1" applyFill="1" applyAlignment="1" applyProtection="1">
      <alignment horizontal="right"/>
    </xf>
    <xf numFmtId="0" fontId="36" fillId="35" borderId="0" xfId="0" applyFont="1" applyFill="1" applyBorder="1" applyAlignment="1" applyProtection="1">
      <alignment vertical="center"/>
    </xf>
    <xf numFmtId="0" fontId="92" fillId="35" borderId="0" xfId="0" applyFont="1" applyFill="1" applyAlignment="1" applyProtection="1">
      <alignment vertical="center"/>
    </xf>
    <xf numFmtId="0" fontId="93" fillId="35" borderId="0" xfId="0" applyFont="1" applyFill="1" applyAlignment="1" applyProtection="1">
      <alignment vertical="center" wrapText="1"/>
    </xf>
    <xf numFmtId="0" fontId="29" fillId="35" borderId="0" xfId="0" applyFont="1" applyFill="1" applyProtection="1"/>
    <xf numFmtId="0" fontId="93" fillId="35" borderId="0" xfId="0" applyFont="1" applyFill="1" applyAlignment="1" applyProtection="1">
      <alignment vertical="center"/>
    </xf>
    <xf numFmtId="0" fontId="32" fillId="44" borderId="36" xfId="0" applyFont="1" applyFill="1" applyBorder="1" applyAlignment="1" applyProtection="1">
      <alignment horizontal="center" vertical="center"/>
    </xf>
    <xf numFmtId="0" fontId="32" fillId="44" borderId="44" xfId="0" applyFont="1" applyFill="1" applyBorder="1" applyAlignment="1" applyProtection="1">
      <alignment horizontal="center" vertical="center" wrapText="1"/>
    </xf>
    <xf numFmtId="0" fontId="32" fillId="44" borderId="37" xfId="0" applyFont="1" applyFill="1" applyBorder="1" applyAlignment="1" applyProtection="1">
      <alignment horizontal="center" vertical="center" wrapText="1"/>
    </xf>
    <xf numFmtId="0" fontId="32" fillId="44" borderId="12" xfId="0" applyFont="1" applyFill="1" applyBorder="1" applyAlignment="1" applyProtection="1">
      <alignment horizontal="center" vertical="center" wrapText="1"/>
    </xf>
    <xf numFmtId="0" fontId="32" fillId="44" borderId="45" xfId="0" applyFont="1" applyFill="1" applyBorder="1" applyAlignment="1" applyProtection="1">
      <alignment horizontal="center" vertical="center" wrapText="1"/>
    </xf>
    <xf numFmtId="0" fontId="28" fillId="35" borderId="32" xfId="0" quotePrefix="1" applyFont="1" applyFill="1" applyBorder="1" applyAlignment="1" applyProtection="1">
      <alignment vertical="center"/>
    </xf>
    <xf numFmtId="4" fontId="28" fillId="35" borderId="42" xfId="0" applyNumberFormat="1" applyFont="1" applyFill="1" applyBorder="1" applyAlignment="1" applyProtection="1">
      <alignment vertical="center"/>
    </xf>
    <xf numFmtId="4" fontId="28" fillId="35" borderId="32" xfId="0" applyNumberFormat="1" applyFont="1" applyFill="1" applyBorder="1" applyAlignment="1" applyProtection="1">
      <alignment vertical="center"/>
    </xf>
    <xf numFmtId="4" fontId="28" fillId="35" borderId="29" xfId="0" applyNumberFormat="1" applyFont="1" applyFill="1" applyBorder="1" applyAlignment="1" applyProtection="1">
      <alignment vertical="center"/>
    </xf>
    <xf numFmtId="0" fontId="41" fillId="35" borderId="33" xfId="0" applyFont="1" applyFill="1" applyBorder="1" applyAlignment="1" applyProtection="1">
      <alignment vertical="center" wrapText="1"/>
    </xf>
    <xf numFmtId="0" fontId="28" fillId="35" borderId="32" xfId="0" applyFont="1" applyFill="1" applyBorder="1" applyAlignment="1" applyProtection="1">
      <alignment vertical="center"/>
    </xf>
    <xf numFmtId="3" fontId="28" fillId="35" borderId="42" xfId="0" applyNumberFormat="1" applyFont="1" applyFill="1" applyBorder="1" applyAlignment="1" applyProtection="1">
      <alignment vertical="center"/>
    </xf>
    <xf numFmtId="3" fontId="28" fillId="35" borderId="32" xfId="0" applyNumberFormat="1" applyFont="1" applyFill="1" applyBorder="1" applyAlignment="1" applyProtection="1">
      <alignment vertical="center"/>
    </xf>
    <xf numFmtId="0" fontId="41" fillId="35" borderId="33" xfId="0" applyFont="1" applyFill="1" applyBorder="1" applyAlignment="1" applyProtection="1">
      <alignment horizontal="center" vertical="center" wrapText="1"/>
    </xf>
    <xf numFmtId="9" fontId="28" fillId="35" borderId="42" xfId="128" applyFont="1" applyFill="1" applyBorder="1" applyAlignment="1" applyProtection="1">
      <alignment vertical="center"/>
    </xf>
    <xf numFmtId="9" fontId="28" fillId="35" borderId="32" xfId="128" applyFont="1" applyFill="1" applyBorder="1" applyAlignment="1" applyProtection="1">
      <alignment vertical="center"/>
    </xf>
    <xf numFmtId="9" fontId="28" fillId="35" borderId="29" xfId="128" quotePrefix="1" applyFont="1" applyFill="1" applyBorder="1" applyAlignment="1" applyProtection="1">
      <alignment horizontal="right" vertical="center"/>
    </xf>
    <xf numFmtId="168" fontId="28" fillId="35" borderId="42" xfId="30" applyNumberFormat="1" applyFont="1" applyFill="1" applyBorder="1" applyAlignment="1" applyProtection="1">
      <alignment vertical="center"/>
    </xf>
    <xf numFmtId="168" fontId="28" fillId="35" borderId="32" xfId="30" applyNumberFormat="1" applyFont="1" applyFill="1" applyBorder="1" applyAlignment="1" applyProtection="1">
      <alignment vertical="center"/>
    </xf>
    <xf numFmtId="168" fontId="28" fillId="35" borderId="29" xfId="30" applyNumberFormat="1" applyFont="1" applyFill="1" applyBorder="1" applyAlignment="1" applyProtection="1">
      <alignment vertical="center"/>
    </xf>
    <xf numFmtId="0" fontId="38" fillId="35" borderId="32" xfId="0" applyFont="1" applyFill="1" applyBorder="1" applyAlignment="1" applyProtection="1">
      <alignment vertical="center"/>
    </xf>
    <xf numFmtId="168" fontId="28" fillId="35" borderId="42" xfId="0" applyNumberFormat="1" applyFont="1" applyFill="1" applyBorder="1" applyAlignment="1" applyProtection="1">
      <alignment vertical="center"/>
    </xf>
    <xf numFmtId="168" fontId="28" fillId="35" borderId="32" xfId="0" applyNumberFormat="1" applyFont="1" applyFill="1" applyBorder="1" applyAlignment="1" applyProtection="1">
      <alignment vertical="center"/>
    </xf>
    <xf numFmtId="168" fontId="28" fillId="35" borderId="29" xfId="0" applyNumberFormat="1" applyFont="1" applyFill="1" applyBorder="1" applyAlignment="1" applyProtection="1">
      <alignment vertical="center"/>
    </xf>
    <xf numFmtId="0" fontId="37" fillId="35" borderId="36" xfId="0" applyFont="1" applyFill="1" applyBorder="1" applyAlignment="1" applyProtection="1">
      <alignment vertical="center"/>
    </xf>
    <xf numFmtId="168" fontId="29" fillId="35" borderId="44" xfId="30" applyNumberFormat="1" applyFont="1" applyFill="1" applyBorder="1" applyAlignment="1" applyProtection="1">
      <alignment vertical="center"/>
    </xf>
    <xf numFmtId="168" fontId="29" fillId="35" borderId="36" xfId="30" applyNumberFormat="1" applyFont="1" applyFill="1" applyBorder="1" applyAlignment="1" applyProtection="1">
      <alignment vertical="center"/>
    </xf>
    <xf numFmtId="168" fontId="29" fillId="35" borderId="30" xfId="30" applyNumberFormat="1" applyFont="1" applyFill="1" applyBorder="1" applyAlignment="1" applyProtection="1">
      <alignment vertical="center"/>
    </xf>
    <xf numFmtId="0" fontId="41" fillId="35" borderId="37" xfId="0" applyFont="1" applyFill="1" applyBorder="1" applyAlignment="1" applyProtection="1">
      <alignment vertical="center" wrapText="1"/>
    </xf>
    <xf numFmtId="0" fontId="29" fillId="35" borderId="40" xfId="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center" vertical="center"/>
    </xf>
    <xf numFmtId="0" fontId="29" fillId="35" borderId="39" xfId="0" applyFont="1" applyFill="1" applyBorder="1" applyAlignment="1" applyProtection="1">
      <alignment horizontal="center" vertical="center"/>
    </xf>
    <xf numFmtId="0" fontId="41" fillId="35" borderId="41" xfId="0" applyFont="1" applyFill="1" applyBorder="1" applyAlignment="1" applyProtection="1">
      <alignment horizontal="center" vertical="center" wrapText="1"/>
    </xf>
    <xf numFmtId="43" fontId="29" fillId="35" borderId="42" xfId="30" applyFont="1" applyFill="1" applyBorder="1" applyAlignment="1" applyProtection="1">
      <alignment vertical="center"/>
    </xf>
    <xf numFmtId="43" fontId="29" fillId="35" borderId="32" xfId="30" applyFont="1" applyFill="1" applyBorder="1" applyAlignment="1" applyProtection="1">
      <alignment vertical="center"/>
    </xf>
    <xf numFmtId="43" fontId="29" fillId="35" borderId="29" xfId="30" applyFont="1" applyFill="1" applyBorder="1" applyAlignment="1" applyProtection="1">
      <alignment vertical="center"/>
    </xf>
    <xf numFmtId="0" fontId="37" fillId="35" borderId="37" xfId="0" applyFont="1" applyFill="1" applyBorder="1" applyAlignment="1" applyProtection="1">
      <alignment vertical="center" wrapText="1"/>
    </xf>
    <xf numFmtId="168" fontId="29" fillId="35" borderId="43" xfId="30" applyNumberFormat="1" applyFont="1" applyFill="1" applyBorder="1" applyAlignment="1" applyProtection="1">
      <alignment vertical="center"/>
    </xf>
    <xf numFmtId="168" fontId="29" fillId="35" borderId="40" xfId="30" applyNumberFormat="1" applyFont="1" applyFill="1" applyBorder="1" applyAlignment="1" applyProtection="1">
      <alignment vertical="center"/>
    </xf>
    <xf numFmtId="0" fontId="37" fillId="35" borderId="41" xfId="0" applyFont="1" applyFill="1" applyBorder="1" applyAlignment="1" applyProtection="1">
      <alignment vertical="center" wrapText="1"/>
    </xf>
    <xf numFmtId="0" fontId="29" fillId="35" borderId="32" xfId="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center" vertical="center"/>
    </xf>
    <xf numFmtId="0" fontId="29" fillId="35" borderId="29" xfId="0" applyFont="1" applyFill="1" applyBorder="1" applyAlignment="1" applyProtection="1">
      <alignment horizontal="center" vertical="center"/>
    </xf>
    <xf numFmtId="0" fontId="37" fillId="35" borderId="46" xfId="0" applyFont="1" applyFill="1" applyBorder="1" applyAlignment="1" applyProtection="1">
      <alignment vertical="center"/>
    </xf>
    <xf numFmtId="38" fontId="29" fillId="35" borderId="47" xfId="127" applyNumberFormat="1" applyFont="1" applyFill="1" applyBorder="1" applyAlignment="1" applyProtection="1">
      <alignment vertical="center"/>
    </xf>
    <xf numFmtId="38" fontId="29" fillId="35" borderId="46" xfId="127" applyNumberFormat="1" applyFont="1" applyFill="1" applyBorder="1" applyAlignment="1" applyProtection="1">
      <alignment vertical="center"/>
    </xf>
    <xf numFmtId="38" fontId="29" fillId="35" borderId="48" xfId="127" applyNumberFormat="1" applyFont="1" applyFill="1" applyBorder="1" applyAlignment="1" applyProtection="1">
      <alignment vertical="center"/>
    </xf>
    <xf numFmtId="0" fontId="41" fillId="35" borderId="49" xfId="0" applyFont="1" applyFill="1" applyBorder="1" applyAlignment="1" applyProtection="1">
      <alignment vertical="center" wrapText="1"/>
    </xf>
    <xf numFmtId="0" fontId="37" fillId="35" borderId="0" xfId="0" applyFont="1" applyFill="1" applyBorder="1" applyAlignment="1" applyProtection="1">
      <alignment vertical="center"/>
    </xf>
    <xf numFmtId="38" fontId="29" fillId="35" borderId="0" xfId="127" applyNumberFormat="1" applyFont="1" applyFill="1" applyBorder="1" applyAlignment="1" applyProtection="1">
      <alignment vertical="center"/>
    </xf>
    <xf numFmtId="38" fontId="29" fillId="35" borderId="29" xfId="127" applyNumberFormat="1" applyFont="1" applyFill="1" applyBorder="1" applyAlignment="1" applyProtection="1">
      <alignment vertical="center"/>
    </xf>
    <xf numFmtId="0" fontId="41" fillId="35" borderId="0" xfId="0" applyFont="1" applyFill="1" applyBorder="1" applyAlignment="1" applyProtection="1">
      <alignment vertical="center" wrapText="1"/>
    </xf>
    <xf numFmtId="168" fontId="29" fillId="35" borderId="0" xfId="30" applyNumberFormat="1" applyFont="1" applyFill="1" applyBorder="1" applyAlignment="1" applyProtection="1">
      <alignment vertical="center"/>
    </xf>
    <xf numFmtId="168" fontId="29" fillId="35" borderId="29" xfId="30" applyNumberFormat="1" applyFont="1" applyFill="1" applyBorder="1" applyAlignment="1" applyProtection="1">
      <alignment vertical="center"/>
    </xf>
    <xf numFmtId="0" fontId="28" fillId="35" borderId="0" xfId="0" applyFont="1" applyFill="1" applyProtection="1"/>
    <xf numFmtId="38" fontId="28" fillId="35" borderId="0" xfId="127" applyNumberFormat="1" applyFont="1" applyFill="1" applyProtection="1"/>
    <xf numFmtId="38" fontId="28" fillId="35" borderId="29" xfId="127" applyNumberFormat="1" applyFont="1" applyFill="1" applyBorder="1" applyProtection="1"/>
    <xf numFmtId="0" fontId="28" fillId="35" borderId="31" xfId="0" applyFont="1" applyFill="1" applyBorder="1" applyProtection="1"/>
    <xf numFmtId="168" fontId="49" fillId="35" borderId="0" xfId="0" applyNumberFormat="1" applyFont="1" applyFill="1" applyProtection="1"/>
    <xf numFmtId="0" fontId="94" fillId="0" borderId="0" xfId="0" applyFont="1" applyProtection="1"/>
    <xf numFmtId="0" fontId="30" fillId="0" borderId="0" xfId="0" applyFont="1" applyAlignment="1" applyProtection="1">
      <alignment horizontal="center"/>
    </xf>
    <xf numFmtId="43" fontId="30" fillId="0" borderId="0" xfId="30" applyFont="1" applyProtection="1"/>
    <xf numFmtId="43" fontId="94" fillId="0" borderId="0" xfId="30" applyNumberFormat="1" applyFont="1" applyProtection="1"/>
    <xf numFmtId="170" fontId="94" fillId="0" borderId="0" xfId="127" applyNumberFormat="1" applyFont="1" applyProtection="1"/>
    <xf numFmtId="170" fontId="30" fillId="0" borderId="0" xfId="127" applyNumberFormat="1" applyFont="1" applyProtection="1"/>
    <xf numFmtId="170" fontId="30" fillId="0" borderId="0" xfId="127" applyNumberFormat="1" applyFont="1" applyBorder="1" applyProtection="1"/>
    <xf numFmtId="43" fontId="30" fillId="0" borderId="0" xfId="30" applyNumberFormat="1" applyFont="1" applyProtection="1"/>
    <xf numFmtId="43" fontId="95" fillId="45" borderId="0" xfId="30" applyNumberFormat="1" applyFont="1" applyFill="1" applyProtection="1"/>
    <xf numFmtId="170" fontId="96" fillId="45" borderId="0" xfId="127" applyNumberFormat="1" applyFont="1" applyFill="1" applyProtection="1"/>
    <xf numFmtId="170" fontId="96" fillId="45" borderId="0" xfId="127" applyNumberFormat="1" applyFont="1" applyFill="1" applyBorder="1" applyProtection="1"/>
    <xf numFmtId="44" fontId="30" fillId="0" borderId="0" xfId="127" applyNumberFormat="1" applyFont="1" applyProtection="1"/>
    <xf numFmtId="170" fontId="30" fillId="45" borderId="0" xfId="127" applyNumberFormat="1" applyFont="1" applyFill="1" applyProtection="1"/>
    <xf numFmtId="10" fontId="30" fillId="45" borderId="0" xfId="128" applyNumberFormat="1" applyFont="1" applyFill="1" applyProtection="1"/>
    <xf numFmtId="170" fontId="30" fillId="45" borderId="0" xfId="127" applyNumberFormat="1" applyFont="1" applyFill="1" applyBorder="1" applyProtection="1"/>
    <xf numFmtId="0" fontId="33" fillId="0" borderId="0" xfId="0" applyFont="1" applyProtection="1"/>
    <xf numFmtId="0" fontId="33" fillId="0" borderId="0" xfId="0" applyFont="1" applyAlignment="1" applyProtection="1">
      <alignment horizontal="center"/>
    </xf>
    <xf numFmtId="170" fontId="98" fillId="0" borderId="0" xfId="127" applyNumberFormat="1" applyFont="1" applyAlignment="1" applyProtection="1">
      <alignment horizontal="center"/>
    </xf>
    <xf numFmtId="0" fontId="30" fillId="29" borderId="15" xfId="0" applyFont="1" applyFill="1" applyBorder="1" applyProtection="1"/>
    <xf numFmtId="0" fontId="33" fillId="29" borderId="16" xfId="0" applyFont="1" applyFill="1" applyBorder="1" applyAlignment="1" applyProtection="1">
      <alignment horizontal="center"/>
    </xf>
    <xf numFmtId="43" fontId="33" fillId="29" borderId="15" xfId="30" applyFont="1" applyFill="1" applyBorder="1" applyAlignment="1" applyProtection="1">
      <alignment horizontal="center"/>
    </xf>
    <xf numFmtId="170" fontId="33" fillId="29" borderId="16" xfId="127" applyNumberFormat="1" applyFont="1" applyFill="1" applyBorder="1" applyAlignment="1" applyProtection="1">
      <alignment horizontal="center"/>
    </xf>
    <xf numFmtId="170" fontId="33" fillId="29" borderId="17" xfId="127" applyNumberFormat="1" applyFont="1" applyFill="1" applyBorder="1" applyAlignment="1" applyProtection="1">
      <alignment horizontal="center"/>
    </xf>
    <xf numFmtId="0" fontId="30" fillId="29" borderId="0" xfId="0" applyFont="1" applyFill="1" applyBorder="1" applyProtection="1"/>
    <xf numFmtId="0" fontId="30" fillId="29" borderId="16" xfId="0" applyFont="1" applyFill="1" applyBorder="1" applyProtection="1"/>
    <xf numFmtId="170" fontId="33" fillId="29" borderId="15" xfId="127" applyNumberFormat="1" applyFont="1" applyFill="1" applyBorder="1" applyAlignment="1" applyProtection="1">
      <alignment horizontal="center"/>
    </xf>
    <xf numFmtId="0" fontId="33" fillId="29" borderId="20" xfId="0" applyFont="1" applyFill="1" applyBorder="1" applyAlignment="1" applyProtection="1">
      <alignment horizontal="center"/>
    </xf>
    <xf numFmtId="0" fontId="33" fillId="29" borderId="21" xfId="0" applyFont="1" applyFill="1" applyBorder="1" applyAlignment="1" applyProtection="1">
      <alignment horizontal="center"/>
    </xf>
    <xf numFmtId="43" fontId="33" fillId="29" borderId="20" xfId="30" applyFont="1" applyFill="1" applyBorder="1" applyAlignment="1" applyProtection="1">
      <alignment horizontal="center"/>
    </xf>
    <xf numFmtId="0" fontId="33" fillId="29" borderId="21" xfId="127" applyNumberFormat="1" applyFont="1" applyFill="1" applyBorder="1" applyAlignment="1" applyProtection="1">
      <alignment horizontal="center"/>
    </xf>
    <xf numFmtId="170" fontId="33" fillId="29" borderId="21" xfId="127" applyNumberFormat="1" applyFont="1" applyFill="1" applyBorder="1" applyAlignment="1" applyProtection="1">
      <alignment horizontal="center"/>
    </xf>
    <xf numFmtId="170" fontId="33" fillId="29" borderId="22" xfId="127" applyNumberFormat="1" applyFont="1" applyFill="1" applyBorder="1" applyAlignment="1" applyProtection="1">
      <alignment horizontal="center"/>
    </xf>
    <xf numFmtId="170" fontId="33" fillId="29" borderId="20" xfId="127" applyNumberFormat="1" applyFont="1" applyFill="1" applyBorder="1" applyAlignment="1" applyProtection="1">
      <alignment horizontal="center"/>
    </xf>
    <xf numFmtId="0" fontId="33" fillId="35" borderId="18" xfId="0" applyFont="1" applyFill="1" applyBorder="1" applyProtection="1"/>
    <xf numFmtId="0" fontId="30" fillId="0" borderId="0" xfId="0" applyFont="1" applyBorder="1" applyAlignment="1" applyProtection="1">
      <alignment horizontal="center"/>
    </xf>
    <xf numFmtId="43" fontId="30" fillId="0" borderId="18" xfId="30" applyFont="1" applyBorder="1" applyProtection="1"/>
    <xf numFmtId="43" fontId="30" fillId="0" borderId="0" xfId="30" applyNumberFormat="1" applyFont="1" applyBorder="1" applyProtection="1"/>
    <xf numFmtId="170" fontId="30" fillId="0" borderId="19" xfId="127" applyNumberFormat="1" applyFont="1" applyBorder="1" applyProtection="1"/>
    <xf numFmtId="43" fontId="30" fillId="0" borderId="18" xfId="30" applyNumberFormat="1" applyFont="1" applyBorder="1" applyProtection="1"/>
    <xf numFmtId="170" fontId="30" fillId="0" borderId="18" xfId="127" applyNumberFormat="1" applyFont="1" applyBorder="1" applyProtection="1"/>
    <xf numFmtId="43" fontId="30" fillId="30" borderId="18" xfId="30" applyNumberFormat="1" applyFont="1" applyFill="1" applyBorder="1" applyProtection="1">
      <protection locked="0"/>
    </xf>
    <xf numFmtId="0" fontId="30" fillId="30" borderId="0" xfId="0" applyFont="1" applyFill="1" applyBorder="1" applyProtection="1">
      <protection locked="0"/>
    </xf>
    <xf numFmtId="0" fontId="30" fillId="30" borderId="0" xfId="0" applyFont="1" applyFill="1" applyBorder="1" applyAlignment="1" applyProtection="1">
      <alignment horizontal="center"/>
      <protection locked="0"/>
    </xf>
    <xf numFmtId="43" fontId="30" fillId="30" borderId="18" xfId="30" applyFont="1" applyFill="1" applyBorder="1" applyProtection="1">
      <protection locked="0"/>
    </xf>
    <xf numFmtId="43" fontId="30" fillId="30" borderId="0" xfId="30" applyNumberFormat="1" applyFont="1" applyFill="1" applyBorder="1" applyProtection="1">
      <protection locked="0"/>
    </xf>
    <xf numFmtId="170" fontId="30" fillId="30" borderId="0" xfId="127" applyNumberFormat="1" applyFont="1" applyFill="1" applyBorder="1" applyProtection="1">
      <protection locked="0"/>
    </xf>
    <xf numFmtId="43" fontId="30" fillId="30" borderId="0" xfId="30" applyFont="1" applyFill="1" applyBorder="1" applyProtection="1">
      <protection locked="0"/>
    </xf>
    <xf numFmtId="43" fontId="30" fillId="30" borderId="20" xfId="30" applyNumberFormat="1" applyFont="1" applyFill="1" applyBorder="1" applyProtection="1">
      <protection locked="0"/>
    </xf>
    <xf numFmtId="0" fontId="33" fillId="38" borderId="23" xfId="0" applyFont="1" applyFill="1" applyBorder="1" applyProtection="1"/>
    <xf numFmtId="0" fontId="33" fillId="38" borderId="24" xfId="0" applyFont="1" applyFill="1" applyBorder="1" applyProtection="1"/>
    <xf numFmtId="0" fontId="33" fillId="38" borderId="24" xfId="0" applyFont="1" applyFill="1" applyBorder="1" applyAlignment="1" applyProtection="1">
      <alignment horizontal="center"/>
    </xf>
    <xf numFmtId="43" fontId="33" fillId="38" borderId="23" xfId="30" applyFont="1" applyFill="1" applyBorder="1" applyProtection="1"/>
    <xf numFmtId="43" fontId="33" fillId="38" borderId="24" xfId="30" applyNumberFormat="1" applyFont="1" applyFill="1" applyBorder="1" applyProtection="1"/>
    <xf numFmtId="170" fontId="33" fillId="38" borderId="24" xfId="127" applyNumberFormat="1" applyFont="1" applyFill="1" applyBorder="1" applyProtection="1"/>
    <xf numFmtId="170" fontId="33" fillId="38" borderId="25" xfId="127" applyNumberFormat="1" applyFont="1" applyFill="1" applyBorder="1" applyProtection="1"/>
    <xf numFmtId="43" fontId="33" fillId="38" borderId="23" xfId="30" applyNumberFormat="1" applyFont="1" applyFill="1" applyBorder="1" applyProtection="1"/>
    <xf numFmtId="170" fontId="33" fillId="38" borderId="23" xfId="127" applyNumberFormat="1" applyFont="1" applyFill="1" applyBorder="1" applyProtection="1"/>
    <xf numFmtId="0" fontId="33" fillId="32" borderId="23" xfId="0" applyFont="1" applyFill="1" applyBorder="1" applyProtection="1"/>
    <xf numFmtId="0" fontId="33" fillId="32" borderId="24" xfId="0" applyFont="1" applyFill="1" applyBorder="1" applyProtection="1"/>
    <xf numFmtId="0" fontId="33" fillId="32" borderId="24" xfId="0" applyFont="1" applyFill="1" applyBorder="1" applyAlignment="1" applyProtection="1">
      <alignment horizontal="center"/>
    </xf>
    <xf numFmtId="43" fontId="33" fillId="32" borderId="23" xfId="30" applyFont="1" applyFill="1" applyBorder="1" applyProtection="1"/>
    <xf numFmtId="43" fontId="33" fillId="32" borderId="24" xfId="30" applyNumberFormat="1" applyFont="1" applyFill="1" applyBorder="1" applyProtection="1"/>
    <xf numFmtId="170" fontId="33" fillId="32" borderId="24" xfId="127" applyNumberFormat="1" applyFont="1" applyFill="1" applyBorder="1" applyProtection="1"/>
    <xf numFmtId="170" fontId="33" fillId="32" borderId="25" xfId="127" applyNumberFormat="1" applyFont="1" applyFill="1" applyBorder="1" applyProtection="1"/>
    <xf numFmtId="43" fontId="33" fillId="32" borderId="23" xfId="30" applyNumberFormat="1" applyFont="1" applyFill="1" applyBorder="1" applyProtection="1"/>
    <xf numFmtId="170" fontId="33" fillId="32" borderId="23" xfId="127" applyNumberFormat="1" applyFont="1" applyFill="1" applyBorder="1" applyProtection="1"/>
    <xf numFmtId="0" fontId="33" fillId="0" borderId="15" xfId="0" applyFont="1" applyFill="1" applyBorder="1" applyProtection="1"/>
    <xf numFmtId="0" fontId="33" fillId="0" borderId="16" xfId="0" applyFont="1" applyFill="1" applyBorder="1" applyProtection="1"/>
    <xf numFmtId="0" fontId="33" fillId="0" borderId="0" xfId="0" applyFont="1" applyFill="1" applyBorder="1" applyProtection="1"/>
    <xf numFmtId="43" fontId="33" fillId="0" borderId="15" xfId="30" applyFont="1" applyFill="1" applyBorder="1" applyAlignment="1" applyProtection="1">
      <alignment horizontal="right"/>
    </xf>
    <xf numFmtId="43" fontId="33" fillId="0" borderId="16" xfId="30" applyNumberFormat="1" applyFont="1" applyFill="1" applyBorder="1" applyAlignment="1" applyProtection="1">
      <alignment horizontal="right"/>
    </xf>
    <xf numFmtId="170" fontId="33" fillId="30" borderId="16" xfId="127" applyNumberFormat="1" applyFont="1" applyFill="1" applyBorder="1" applyProtection="1">
      <protection locked="0"/>
    </xf>
    <xf numFmtId="170" fontId="33" fillId="0" borderId="16" xfId="127" applyNumberFormat="1" applyFont="1" applyFill="1" applyBorder="1" applyProtection="1"/>
    <xf numFmtId="170" fontId="33" fillId="0" borderId="17" xfId="127" applyNumberFormat="1" applyFont="1" applyFill="1" applyBorder="1" applyProtection="1"/>
    <xf numFmtId="43" fontId="33" fillId="0" borderId="15" xfId="30" applyNumberFormat="1" applyFont="1" applyFill="1" applyBorder="1" applyAlignment="1" applyProtection="1">
      <alignment horizontal="right"/>
    </xf>
    <xf numFmtId="0" fontId="33" fillId="33" borderId="15" xfId="0" applyFont="1" applyFill="1" applyBorder="1" applyProtection="1"/>
    <xf numFmtId="0" fontId="33" fillId="33" borderId="16" xfId="0" applyFont="1" applyFill="1" applyBorder="1" applyProtection="1"/>
    <xf numFmtId="0" fontId="33" fillId="33" borderId="16" xfId="0" applyFont="1" applyFill="1" applyBorder="1" applyAlignment="1" applyProtection="1">
      <alignment horizontal="center"/>
    </xf>
    <xf numFmtId="43" fontId="33" fillId="33" borderId="15" xfId="30" applyFont="1" applyFill="1" applyBorder="1" applyProtection="1"/>
    <xf numFmtId="43" fontId="33" fillId="33" borderId="16" xfId="30" applyFont="1" applyFill="1" applyBorder="1" applyProtection="1"/>
    <xf numFmtId="170" fontId="33" fillId="33" borderId="16" xfId="127" applyNumberFormat="1" applyFont="1" applyFill="1" applyBorder="1" applyProtection="1"/>
    <xf numFmtId="170" fontId="33" fillId="33" borderId="17" xfId="127" applyNumberFormat="1" applyFont="1" applyFill="1" applyBorder="1" applyProtection="1"/>
    <xf numFmtId="170" fontId="33" fillId="33" borderId="23" xfId="127" applyNumberFormat="1" applyFont="1" applyFill="1" applyBorder="1" applyProtection="1"/>
    <xf numFmtId="170" fontId="33" fillId="33" borderId="24" xfId="127" applyNumberFormat="1" applyFont="1" applyFill="1" applyBorder="1" applyProtection="1"/>
    <xf numFmtId="170" fontId="33" fillId="33" borderId="25" xfId="127" applyNumberFormat="1" applyFont="1" applyFill="1" applyBorder="1" applyProtection="1"/>
    <xf numFmtId="43" fontId="33" fillId="33" borderId="15" xfId="30" applyNumberFormat="1" applyFont="1" applyFill="1" applyBorder="1" applyProtection="1"/>
    <xf numFmtId="43" fontId="33" fillId="33" borderId="16" xfId="30" applyNumberFormat="1" applyFont="1" applyFill="1" applyBorder="1" applyProtection="1"/>
    <xf numFmtId="0" fontId="33" fillId="34" borderId="23" xfId="0" applyFont="1" applyFill="1" applyBorder="1" applyProtection="1"/>
    <xf numFmtId="0" fontId="33" fillId="34" borderId="24" xfId="0" applyFont="1" applyFill="1" applyBorder="1" applyProtection="1"/>
    <xf numFmtId="0" fontId="33" fillId="34" borderId="24" xfId="0" applyFont="1" applyFill="1" applyBorder="1" applyAlignment="1" applyProtection="1">
      <alignment horizontal="center"/>
    </xf>
    <xf numFmtId="43" fontId="33" fillId="34" borderId="23" xfId="30" applyFont="1" applyFill="1" applyBorder="1" applyProtection="1"/>
    <xf numFmtId="43" fontId="33" fillId="34" borderId="24" xfId="30" applyFont="1" applyFill="1" applyBorder="1" applyProtection="1"/>
    <xf numFmtId="170" fontId="33" fillId="34" borderId="24" xfId="127" applyNumberFormat="1" applyFont="1" applyFill="1" applyBorder="1" applyProtection="1"/>
    <xf numFmtId="170" fontId="33" fillId="34" borderId="25" xfId="127" applyNumberFormat="1" applyFont="1" applyFill="1" applyBorder="1" applyProtection="1"/>
    <xf numFmtId="43" fontId="33" fillId="34" borderId="23" xfId="30" applyNumberFormat="1" applyFont="1" applyFill="1" applyBorder="1" applyProtection="1"/>
    <xf numFmtId="43" fontId="33" fillId="34" borderId="24" xfId="30" applyNumberFormat="1" applyFont="1" applyFill="1" applyBorder="1" applyProtection="1"/>
    <xf numFmtId="170" fontId="33" fillId="34" borderId="23" xfId="127" applyNumberFormat="1" applyFont="1" applyFill="1" applyBorder="1" applyProtection="1"/>
    <xf numFmtId="0" fontId="30" fillId="0" borderId="0" xfId="0" applyFont="1" applyAlignment="1" applyProtection="1">
      <alignment horizontal="center"/>
      <protection locked="0"/>
    </xf>
    <xf numFmtId="43" fontId="30" fillId="0" borderId="0" xfId="30" applyFont="1" applyProtection="1">
      <protection locked="0"/>
    </xf>
    <xf numFmtId="43" fontId="30" fillId="0" borderId="0" xfId="30" applyNumberFormat="1" applyFont="1" applyProtection="1">
      <protection locked="0"/>
    </xf>
    <xf numFmtId="170" fontId="30" fillId="0" borderId="0" xfId="127" applyNumberFormat="1" applyFont="1" applyBorder="1" applyProtection="1">
      <protection locked="0"/>
    </xf>
    <xf numFmtId="170" fontId="49" fillId="0" borderId="0" xfId="127" applyNumberFormat="1" applyFont="1" applyBorder="1" applyProtection="1"/>
    <xf numFmtId="170" fontId="49" fillId="0" borderId="0" xfId="127" applyNumberFormat="1" applyFont="1" applyProtection="1"/>
    <xf numFmtId="0" fontId="100" fillId="0" borderId="0" xfId="0" applyFont="1" applyProtection="1"/>
    <xf numFmtId="0" fontId="101" fillId="0" borderId="0" xfId="0" applyFont="1" applyProtection="1"/>
    <xf numFmtId="0" fontId="49" fillId="26" borderId="15" xfId="0" applyFont="1" applyFill="1" applyBorder="1" applyProtection="1"/>
    <xf numFmtId="170" fontId="91" fillId="26" borderId="27" xfId="127" applyNumberFormat="1" applyFont="1" applyFill="1" applyBorder="1" applyAlignment="1" applyProtection="1">
      <alignment horizontal="center"/>
    </xf>
    <xf numFmtId="170" fontId="91" fillId="26" borderId="16" xfId="127" applyNumberFormat="1" applyFont="1" applyFill="1" applyBorder="1" applyAlignment="1" applyProtection="1">
      <alignment horizontal="center"/>
    </xf>
    <xf numFmtId="0" fontId="91" fillId="26" borderId="20" xfId="0" applyFont="1" applyFill="1" applyBorder="1" applyAlignment="1" applyProtection="1">
      <alignment horizontal="center"/>
    </xf>
    <xf numFmtId="170" fontId="91" fillId="26" borderId="31" xfId="127" applyNumberFormat="1" applyFont="1" applyFill="1" applyBorder="1" applyAlignment="1" applyProtection="1">
      <alignment horizontal="center"/>
    </xf>
    <xf numFmtId="170" fontId="91" fillId="26" borderId="22" xfId="127" applyNumberFormat="1" applyFont="1" applyFill="1" applyBorder="1" applyAlignment="1" applyProtection="1">
      <alignment horizontal="center"/>
    </xf>
    <xf numFmtId="0" fontId="102" fillId="29" borderId="18" xfId="0" applyFont="1" applyFill="1" applyBorder="1" applyProtection="1"/>
    <xf numFmtId="170" fontId="49" fillId="0" borderId="29" xfId="127" applyNumberFormat="1" applyFont="1" applyBorder="1" applyProtection="1"/>
    <xf numFmtId="170" fontId="49" fillId="0" borderId="19" xfId="127" applyNumberFormat="1" applyFont="1" applyBorder="1" applyProtection="1"/>
    <xf numFmtId="170" fontId="49" fillId="0" borderId="29" xfId="127" applyNumberFormat="1" applyFont="1" applyBorder="1" applyProtection="1">
      <protection locked="0"/>
    </xf>
    <xf numFmtId="43" fontId="49" fillId="30" borderId="18" xfId="30" applyNumberFormat="1" applyFont="1" applyFill="1" applyBorder="1" applyProtection="1">
      <protection locked="0"/>
    </xf>
    <xf numFmtId="170" fontId="49" fillId="30" borderId="29" xfId="127" applyNumberFormat="1" applyFont="1" applyFill="1" applyBorder="1" applyProtection="1">
      <protection locked="0"/>
    </xf>
    <xf numFmtId="170" fontId="49" fillId="30" borderId="19" xfId="127" applyNumberFormat="1" applyFont="1" applyFill="1" applyBorder="1" applyProtection="1">
      <protection locked="0"/>
    </xf>
    <xf numFmtId="0" fontId="49" fillId="0" borderId="0" xfId="0" applyFont="1" applyProtection="1">
      <protection locked="0"/>
    </xf>
    <xf numFmtId="170" fontId="49" fillId="0" borderId="0" xfId="127" applyNumberFormat="1" applyFont="1" applyProtection="1">
      <protection locked="0"/>
    </xf>
    <xf numFmtId="43" fontId="103" fillId="30" borderId="18" xfId="30" applyNumberFormat="1" applyFont="1" applyFill="1" applyBorder="1" applyProtection="1">
      <protection locked="0"/>
    </xf>
    <xf numFmtId="0" fontId="91" fillId="33" borderId="23" xfId="0" applyFont="1" applyFill="1" applyBorder="1" applyProtection="1"/>
    <xf numFmtId="170" fontId="91" fillId="33" borderId="26" xfId="127" applyNumberFormat="1" applyFont="1" applyFill="1" applyBorder="1" applyProtection="1"/>
    <xf numFmtId="170" fontId="91" fillId="33" borderId="24" xfId="127" applyNumberFormat="1" applyFont="1" applyFill="1" applyBorder="1" applyProtection="1"/>
    <xf numFmtId="170" fontId="91" fillId="33" borderId="26" xfId="127" applyNumberFormat="1" applyFont="1" applyFill="1" applyBorder="1" applyProtection="1">
      <protection locked="0"/>
    </xf>
    <xf numFmtId="44" fontId="49" fillId="0" borderId="0" xfId="0" applyNumberFormat="1" applyFont="1" applyProtection="1"/>
    <xf numFmtId="170" fontId="91" fillId="33" borderId="25" xfId="127" applyNumberFormat="1" applyFont="1" applyFill="1" applyBorder="1" applyProtection="1"/>
    <xf numFmtId="10" fontId="49" fillId="0" borderId="0" xfId="128" applyNumberFormat="1" applyFont="1" applyProtection="1"/>
    <xf numFmtId="0" fontId="91" fillId="34" borderId="23" xfId="0" applyFont="1" applyFill="1" applyBorder="1" applyProtection="1"/>
    <xf numFmtId="170" fontId="91" fillId="34" borderId="26" xfId="127" applyNumberFormat="1" applyFont="1" applyFill="1" applyBorder="1" applyProtection="1"/>
    <xf numFmtId="170" fontId="91" fillId="34" borderId="25" xfId="127" applyNumberFormat="1" applyFont="1" applyFill="1" applyBorder="1" applyProtection="1"/>
    <xf numFmtId="170" fontId="91" fillId="34" borderId="26" xfId="127" applyNumberFormat="1" applyFont="1" applyFill="1" applyBorder="1" applyProtection="1">
      <protection locked="0"/>
    </xf>
    <xf numFmtId="0" fontId="104" fillId="0" borderId="0" xfId="0" applyFont="1" applyProtection="1"/>
    <xf numFmtId="170" fontId="49" fillId="0" borderId="0" xfId="127" applyNumberFormat="1" applyFont="1" applyBorder="1" applyProtection="1">
      <protection locked="0"/>
    </xf>
    <xf numFmtId="0" fontId="105" fillId="0" borderId="0" xfId="0" applyFont="1" applyProtection="1">
      <protection locked="0"/>
    </xf>
    <xf numFmtId="0" fontId="49" fillId="0" borderId="0" xfId="0" applyFont="1" applyAlignment="1" applyProtection="1">
      <alignment horizontal="center"/>
    </xf>
    <xf numFmtId="0" fontId="29" fillId="0" borderId="0" xfId="55" applyFont="1" applyFill="1" applyAlignment="1" applyProtection="1">
      <alignment horizontal="center"/>
    </xf>
    <xf numFmtId="0" fontId="49" fillId="0" borderId="0" xfId="0" applyFont="1" applyFill="1" applyProtection="1"/>
    <xf numFmtId="0" fontId="28" fillId="36" borderId="44" xfId="55" applyFont="1" applyFill="1" applyBorder="1" applyAlignment="1" applyProtection="1">
      <alignment horizontal="center"/>
      <protection locked="0"/>
    </xf>
    <xf numFmtId="0" fontId="49" fillId="0" borderId="0" xfId="0" applyFont="1" applyFill="1"/>
    <xf numFmtId="0" fontId="49" fillId="0" borderId="0" xfId="0" applyFont="1" applyFill="1" applyAlignment="1" applyProtection="1">
      <alignment horizontal="center"/>
    </xf>
    <xf numFmtId="0" fontId="29" fillId="0" borderId="43" xfId="55" applyFont="1" applyFill="1" applyBorder="1" applyAlignment="1" applyProtection="1">
      <alignment horizontal="center"/>
    </xf>
    <xf numFmtId="0" fontId="29" fillId="0" borderId="40" xfId="55" applyFont="1" applyFill="1" applyBorder="1" applyAlignment="1" applyProtection="1">
      <alignment horizontal="center"/>
    </xf>
    <xf numFmtId="0" fontId="28" fillId="0" borderId="0" xfId="55" applyFont="1" applyFill="1" applyAlignment="1" applyProtection="1">
      <alignment horizontal="left"/>
    </xf>
    <xf numFmtId="170" fontId="28" fillId="30" borderId="42" xfId="127" applyNumberFormat="1" applyFont="1" applyFill="1" applyBorder="1" applyAlignment="1" applyProtection="1">
      <alignment horizontal="left"/>
      <protection locked="0"/>
    </xf>
    <xf numFmtId="170" fontId="28" fillId="30" borderId="32" xfId="127" applyNumberFormat="1" applyFont="1" applyFill="1" applyBorder="1" applyAlignment="1" applyProtection="1">
      <alignment horizontal="left"/>
      <protection locked="0"/>
    </xf>
    <xf numFmtId="10" fontId="28" fillId="30" borderId="0" xfId="128" applyNumberFormat="1" applyFont="1" applyFill="1" applyAlignment="1" applyProtection="1">
      <alignment horizontal="center"/>
      <protection locked="0"/>
    </xf>
    <xf numFmtId="170" fontId="49" fillId="0" borderId="42" xfId="0" applyNumberFormat="1" applyFont="1" applyBorder="1" applyAlignment="1" applyProtection="1">
      <alignment horizontal="center"/>
    </xf>
    <xf numFmtId="170" fontId="49" fillId="0" borderId="0" xfId="0" applyNumberFormat="1" applyFont="1" applyAlignment="1" applyProtection="1">
      <alignment horizontal="center"/>
    </xf>
    <xf numFmtId="0" fontId="28" fillId="26" borderId="36" xfId="55" applyFont="1" applyFill="1" applyBorder="1" applyAlignment="1" applyProtection="1">
      <alignment horizontal="left"/>
    </xf>
    <xf numFmtId="0" fontId="49" fillId="26" borderId="12" xfId="0" applyFont="1" applyFill="1" applyBorder="1" applyAlignment="1" applyProtection="1">
      <alignment horizontal="center"/>
    </xf>
    <xf numFmtId="170" fontId="28" fillId="26" borderId="44" xfId="127" applyNumberFormat="1" applyFont="1" applyFill="1" applyBorder="1" applyAlignment="1" applyProtection="1">
      <alignment horizontal="left"/>
    </xf>
    <xf numFmtId="170" fontId="28" fillId="26" borderId="36" xfId="127" applyNumberFormat="1" applyFont="1" applyFill="1" applyBorder="1" applyAlignment="1" applyProtection="1">
      <alignment horizontal="left"/>
    </xf>
    <xf numFmtId="10" fontId="28" fillId="30" borderId="0" xfId="128" applyNumberFormat="1" applyFont="1" applyFill="1" applyAlignment="1" applyProtection="1">
      <alignment horizontal="center"/>
    </xf>
    <xf numFmtId="170" fontId="28" fillId="0" borderId="42" xfId="55" applyNumberFormat="1" applyFont="1" applyFill="1" applyBorder="1" applyAlignment="1" applyProtection="1">
      <alignment horizontal="left"/>
    </xf>
    <xf numFmtId="170" fontId="28" fillId="0" borderId="32" xfId="55" applyNumberFormat="1" applyFont="1" applyFill="1" applyBorder="1" applyAlignment="1" applyProtection="1">
      <alignment horizontal="left"/>
    </xf>
    <xf numFmtId="0" fontId="32" fillId="39" borderId="36" xfId="55" applyFont="1" applyFill="1" applyBorder="1" applyAlignment="1" applyProtection="1">
      <alignment horizontal="left"/>
    </xf>
    <xf numFmtId="0" fontId="106" fillId="39" borderId="12" xfId="0" applyFont="1" applyFill="1" applyBorder="1" applyAlignment="1" applyProtection="1">
      <alignment horizontal="center"/>
    </xf>
    <xf numFmtId="170" fontId="32" fillId="39" borderId="44" xfId="127" applyNumberFormat="1" applyFont="1" applyFill="1" applyBorder="1" applyAlignment="1" applyProtection="1">
      <alignment horizontal="left"/>
    </xf>
    <xf numFmtId="170" fontId="32" fillId="39" borderId="36" xfId="127" applyNumberFormat="1" applyFont="1" applyFill="1" applyBorder="1" applyAlignment="1" applyProtection="1">
      <alignment horizontal="left"/>
    </xf>
    <xf numFmtId="0" fontId="41" fillId="26" borderId="32" xfId="55" applyFont="1" applyFill="1" applyBorder="1" applyAlignment="1" applyProtection="1">
      <alignment horizontal="left"/>
    </xf>
    <xf numFmtId="0" fontId="103" fillId="26" borderId="0" xfId="0" applyFont="1" applyFill="1" applyBorder="1" applyAlignment="1" applyProtection="1">
      <alignment horizontal="center"/>
    </xf>
    <xf numFmtId="170" fontId="41" fillId="26" borderId="42" xfId="127" applyNumberFormat="1" applyFont="1" applyFill="1" applyBorder="1" applyAlignment="1" applyProtection="1">
      <alignment horizontal="center"/>
    </xf>
    <xf numFmtId="170" fontId="41" fillId="26" borderId="32" xfId="127" applyNumberFormat="1" applyFont="1" applyFill="1" applyBorder="1" applyAlignment="1" applyProtection="1">
      <alignment horizontal="center"/>
    </xf>
    <xf numFmtId="0" fontId="103" fillId="26" borderId="34" xfId="0" applyFont="1" applyFill="1" applyBorder="1" applyProtection="1"/>
    <xf numFmtId="0" fontId="103" fillId="26" borderId="14" xfId="0" applyFont="1" applyFill="1" applyBorder="1" applyAlignment="1" applyProtection="1">
      <alignment horizontal="center"/>
    </xf>
    <xf numFmtId="10" fontId="41" fillId="26" borderId="50" xfId="128" applyNumberFormat="1" applyFont="1" applyFill="1" applyBorder="1" applyAlignment="1" applyProtection="1">
      <alignment horizontal="left" indent="4"/>
    </xf>
    <xf numFmtId="10" fontId="41" fillId="26" borderId="34" xfId="128" applyNumberFormat="1" applyFont="1" applyFill="1" applyBorder="1" applyAlignment="1" applyProtection="1">
      <alignment horizontal="left" indent="4"/>
    </xf>
    <xf numFmtId="0" fontId="49" fillId="0" borderId="0" xfId="0" applyFont="1" applyAlignment="1">
      <alignment horizontal="center"/>
    </xf>
    <xf numFmtId="44" fontId="49" fillId="0" borderId="0" xfId="0" applyNumberFormat="1" applyFont="1" applyAlignment="1">
      <alignment horizontal="center"/>
    </xf>
    <xf numFmtId="0" fontId="33" fillId="0" borderId="0" xfId="0" applyFont="1"/>
    <xf numFmtId="0" fontId="91" fillId="0" borderId="15" xfId="0" applyFont="1" applyBorder="1"/>
    <xf numFmtId="0" fontId="49" fillId="0" borderId="16" xfId="0" applyFont="1" applyBorder="1"/>
    <xf numFmtId="0" fontId="49" fillId="0" borderId="17" xfId="0" applyFont="1" applyBorder="1"/>
    <xf numFmtId="0" fontId="49" fillId="0" borderId="18" xfId="0" applyFont="1" applyBorder="1"/>
    <xf numFmtId="0" fontId="49" fillId="0" borderId="0" xfId="0" applyFont="1" applyBorder="1"/>
    <xf numFmtId="0" fontId="49" fillId="0" borderId="19" xfId="0" applyFont="1" applyBorder="1"/>
    <xf numFmtId="168" fontId="49" fillId="0" borderId="19" xfId="30" applyNumberFormat="1" applyFont="1" applyBorder="1"/>
    <xf numFmtId="0" fontId="91" fillId="0" borderId="37" xfId="0" applyFont="1" applyBorder="1" applyAlignment="1">
      <alignment horizontal="center"/>
    </xf>
    <xf numFmtId="10" fontId="49" fillId="0" borderId="19" xfId="128" applyNumberFormat="1" applyFont="1" applyBorder="1"/>
    <xf numFmtId="0" fontId="49" fillId="0" borderId="32" xfId="0" applyFont="1" applyBorder="1"/>
    <xf numFmtId="0" fontId="49" fillId="0" borderId="33" xfId="0" applyFont="1" applyBorder="1" applyAlignment="1">
      <alignment horizontal="right"/>
    </xf>
    <xf numFmtId="0" fontId="49" fillId="0" borderId="34" xfId="0" applyFont="1" applyBorder="1"/>
    <xf numFmtId="0" fontId="49" fillId="0" borderId="14" xfId="0" applyFont="1" applyBorder="1"/>
    <xf numFmtId="0" fontId="49" fillId="0" borderId="35" xfId="0" applyFont="1" applyBorder="1"/>
    <xf numFmtId="0" fontId="49" fillId="0" borderId="20" xfId="0" applyFont="1" applyBorder="1"/>
    <xf numFmtId="0" fontId="49" fillId="0" borderId="21" xfId="0" applyFont="1" applyBorder="1"/>
    <xf numFmtId="168" fontId="49" fillId="0" borderId="22" xfId="30" applyNumberFormat="1" applyFont="1" applyBorder="1"/>
    <xf numFmtId="168" fontId="49" fillId="0" borderId="0" xfId="30" applyNumberFormat="1" applyFont="1" applyBorder="1"/>
    <xf numFmtId="0" fontId="102" fillId="0" borderId="0" xfId="0" applyFont="1"/>
    <xf numFmtId="0" fontId="91" fillId="0" borderId="0" xfId="0" applyFont="1"/>
    <xf numFmtId="0" fontId="49" fillId="0" borderId="0" xfId="0" quotePrefix="1" applyFont="1"/>
    <xf numFmtId="0" fontId="91" fillId="0" borderId="0" xfId="0" applyFont="1" applyAlignment="1">
      <alignment horizontal="right"/>
    </xf>
    <xf numFmtId="0" fontId="108" fillId="48" borderId="0" xfId="0" applyFont="1" applyFill="1"/>
    <xf numFmtId="0" fontId="0" fillId="48" borderId="0" xfId="0" applyFill="1"/>
    <xf numFmtId="0" fontId="108" fillId="48" borderId="45" xfId="0" applyFont="1" applyFill="1" applyBorder="1"/>
    <xf numFmtId="0" fontId="108" fillId="48" borderId="53" xfId="0" applyFont="1" applyFill="1" applyBorder="1"/>
    <xf numFmtId="0" fontId="110" fillId="0" borderId="0" xfId="0" applyFont="1"/>
    <xf numFmtId="0" fontId="111" fillId="48" borderId="0" xfId="0" applyFont="1" applyFill="1"/>
    <xf numFmtId="0" fontId="109" fillId="48" borderId="0" xfId="0" applyFont="1" applyFill="1"/>
    <xf numFmtId="0" fontId="110" fillId="48" borderId="0" xfId="0" applyFont="1" applyFill="1"/>
    <xf numFmtId="0" fontId="0" fillId="35" borderId="0" xfId="0" applyFill="1" applyAlignment="1">
      <alignment vertical="center"/>
    </xf>
    <xf numFmtId="0" fontId="108" fillId="0" borderId="0" xfId="0" applyFont="1"/>
    <xf numFmtId="0" fontId="109" fillId="0" borderId="0" xfId="0" applyFont="1"/>
    <xf numFmtId="9" fontId="32" fillId="44" borderId="44" xfId="0" applyNumberFormat="1" applyFont="1" applyFill="1" applyBorder="1" applyAlignment="1" applyProtection="1">
      <alignment horizontal="center" vertical="center" wrapText="1"/>
    </xf>
    <xf numFmtId="9" fontId="32" fillId="44" borderId="37" xfId="0" applyNumberFormat="1" applyFont="1" applyFill="1" applyBorder="1" applyAlignment="1" applyProtection="1">
      <alignment horizontal="center" vertical="center" wrapText="1"/>
    </xf>
    <xf numFmtId="0" fontId="50" fillId="0" borderId="0" xfId="129" applyFill="1" applyBorder="1"/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108" fillId="48" borderId="0" xfId="0" applyFont="1" applyFill="1" applyAlignment="1">
      <alignment horizontal="center"/>
    </xf>
    <xf numFmtId="0" fontId="108" fillId="48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9" fillId="48" borderId="0" xfId="0" applyFont="1" applyFill="1" applyAlignment="1">
      <alignment horizontal="left"/>
    </xf>
    <xf numFmtId="0" fontId="108" fillId="48" borderId="0" xfId="0" applyFont="1" applyFill="1" applyAlignment="1">
      <alignment horizontal="left"/>
    </xf>
    <xf numFmtId="0" fontId="29" fillId="0" borderId="27" xfId="30" applyNumberFormat="1" applyFont="1" applyFill="1" applyBorder="1" applyAlignment="1" applyProtection="1">
      <alignment horizontal="center" wrapText="1"/>
      <protection locked="0"/>
    </xf>
    <xf numFmtId="0" fontId="29" fillId="0" borderId="28" xfId="30" applyNumberFormat="1" applyFont="1" applyFill="1" applyBorder="1" applyAlignment="1" applyProtection="1">
      <alignment horizontal="center" wrapText="1"/>
      <protection locked="0"/>
    </xf>
    <xf numFmtId="0" fontId="29" fillId="0" borderId="0" xfId="30" applyNumberFormat="1" applyFont="1" applyFill="1" applyBorder="1" applyAlignment="1" applyProtection="1">
      <alignment horizontal="left"/>
      <protection locked="0"/>
    </xf>
    <xf numFmtId="170" fontId="97" fillId="44" borderId="23" xfId="127" applyNumberFormat="1" applyFont="1" applyFill="1" applyBorder="1" applyAlignment="1" applyProtection="1">
      <alignment horizontal="center"/>
    </xf>
    <xf numFmtId="170" fontId="97" fillId="44" borderId="24" xfId="127" applyNumberFormat="1" applyFont="1" applyFill="1" applyBorder="1" applyAlignment="1" applyProtection="1">
      <alignment horizontal="center"/>
    </xf>
    <xf numFmtId="170" fontId="97" fillId="44" borderId="25" xfId="127" applyNumberFormat="1" applyFont="1" applyFill="1" applyBorder="1" applyAlignment="1" applyProtection="1">
      <alignment horizontal="center"/>
    </xf>
    <xf numFmtId="43" fontId="33" fillId="29" borderId="16" xfId="30" applyNumberFormat="1" applyFont="1" applyFill="1" applyBorder="1" applyAlignment="1" applyProtection="1">
      <alignment horizontal="center" wrapText="1"/>
    </xf>
    <xf numFmtId="43" fontId="33" fillId="29" borderId="21" xfId="30" applyNumberFormat="1" applyFont="1" applyFill="1" applyBorder="1" applyAlignment="1" applyProtection="1">
      <alignment horizontal="center" wrapText="1"/>
    </xf>
    <xf numFmtId="0" fontId="59" fillId="0" borderId="36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41" borderId="36" xfId="0" applyFont="1" applyFill="1" applyBorder="1" applyAlignment="1" applyProtection="1">
      <alignment horizontal="center" vertical="center" wrapText="1"/>
      <protection locked="0"/>
    </xf>
    <xf numFmtId="0" fontId="59" fillId="41" borderId="12" xfId="0" applyFont="1" applyFill="1" applyBorder="1" applyAlignment="1" applyProtection="1">
      <alignment horizontal="center" vertical="center" wrapText="1"/>
      <protection locked="0"/>
    </xf>
    <xf numFmtId="0" fontId="59" fillId="41" borderId="37" xfId="0" applyFont="1" applyFill="1" applyBorder="1" applyAlignment="1" applyProtection="1">
      <alignment horizontal="center" vertical="center" wrapText="1"/>
      <protection locked="0"/>
    </xf>
    <xf numFmtId="0" fontId="68" fillId="0" borderId="44" xfId="89" applyFont="1" applyBorder="1" applyAlignment="1">
      <alignment horizontal="center" vertical="center" wrapText="1"/>
    </xf>
    <xf numFmtId="0" fontId="57" fillId="0" borderId="44" xfId="89" applyFont="1" applyBorder="1" applyAlignment="1">
      <alignment horizontal="right" wrapText="1"/>
    </xf>
    <xf numFmtId="174" fontId="69" fillId="0" borderId="44" xfId="130" applyNumberFormat="1" applyFont="1" applyBorder="1" applyAlignment="1">
      <alignment horizontal="left" wrapText="1" indent="1"/>
    </xf>
    <xf numFmtId="0" fontId="57" fillId="0" borderId="44" xfId="89" applyFont="1" applyBorder="1" applyAlignment="1">
      <alignment horizontal="center" vertical="center" wrapText="1"/>
    </xf>
    <xf numFmtId="0" fontId="29" fillId="0" borderId="0" xfId="30" applyNumberFormat="1" applyFont="1" applyFill="1" applyBorder="1" applyAlignment="1" applyProtection="1">
      <alignment horizontal="center"/>
    </xf>
    <xf numFmtId="0" fontId="91" fillId="0" borderId="36" xfId="0" applyFont="1" applyBorder="1" applyAlignment="1">
      <alignment horizontal="center"/>
    </xf>
    <xf numFmtId="0" fontId="91" fillId="0" borderId="12" xfId="0" applyFont="1" applyBorder="1" applyAlignment="1">
      <alignment horizontal="center"/>
    </xf>
  </cellXfs>
  <cellStyles count="133">
    <cellStyle name="_TableHead_Louis Strategic Plan - CEE_FINAL formula" xfId="1" xr:uid="{00000000-0005-0000-0000-000000000000}"/>
    <cellStyle name="20% - Accent1 2" xfId="2" xr:uid="{00000000-0005-0000-0000-000001000000}"/>
    <cellStyle name="20% - Accent2 2" xfId="3" xr:uid="{00000000-0005-0000-0000-000002000000}"/>
    <cellStyle name="20% - Accent3 2" xfId="4" xr:uid="{00000000-0005-0000-0000-000003000000}"/>
    <cellStyle name="20% - Accent4 2" xfId="5" xr:uid="{00000000-0005-0000-0000-000004000000}"/>
    <cellStyle name="20% - Accent5 2" xfId="6" xr:uid="{00000000-0005-0000-0000-000005000000}"/>
    <cellStyle name="20% - Accent6 2" xfId="7" xr:uid="{00000000-0005-0000-0000-000006000000}"/>
    <cellStyle name="40% - Accent1 2" xfId="8" xr:uid="{00000000-0005-0000-0000-000007000000}"/>
    <cellStyle name="40% - Accent2 2" xfId="9" xr:uid="{00000000-0005-0000-0000-000008000000}"/>
    <cellStyle name="40% - Accent3 2" xfId="10" xr:uid="{00000000-0005-0000-0000-000009000000}"/>
    <cellStyle name="40% - Accent4 2" xfId="11" xr:uid="{00000000-0005-0000-0000-00000A000000}"/>
    <cellStyle name="40% - Accent5 2" xfId="12" xr:uid="{00000000-0005-0000-0000-00000B000000}"/>
    <cellStyle name="40% - Accent6 2" xfId="13" xr:uid="{00000000-0005-0000-0000-00000C000000}"/>
    <cellStyle name="60% - Accent1 2" xfId="14" xr:uid="{00000000-0005-0000-0000-00000D000000}"/>
    <cellStyle name="60% - Accent2 2" xfId="15" xr:uid="{00000000-0005-0000-0000-00000E000000}"/>
    <cellStyle name="60% - Accent3 2" xfId="16" xr:uid="{00000000-0005-0000-0000-00000F000000}"/>
    <cellStyle name="60% - Accent4 2" xfId="17" xr:uid="{00000000-0005-0000-0000-000010000000}"/>
    <cellStyle name="60% - Accent5 2" xfId="18" xr:uid="{00000000-0005-0000-0000-000011000000}"/>
    <cellStyle name="60% - Accent6 2" xfId="19" xr:uid="{00000000-0005-0000-0000-000012000000}"/>
    <cellStyle name="Accent1 2" xfId="20" xr:uid="{00000000-0005-0000-0000-000013000000}"/>
    <cellStyle name="Accent2 2" xfId="21" xr:uid="{00000000-0005-0000-0000-000014000000}"/>
    <cellStyle name="Accent3 2" xfId="22" xr:uid="{00000000-0005-0000-0000-000015000000}"/>
    <cellStyle name="Accent4 2" xfId="23" xr:uid="{00000000-0005-0000-0000-000016000000}"/>
    <cellStyle name="Accent5 2" xfId="24" xr:uid="{00000000-0005-0000-0000-000017000000}"/>
    <cellStyle name="Accent6 2" xfId="25" xr:uid="{00000000-0005-0000-0000-000018000000}"/>
    <cellStyle name="AXM_Header1 2" xfId="26" xr:uid="{00000000-0005-0000-0000-000019000000}"/>
    <cellStyle name="Bad 2" xfId="27" xr:uid="{00000000-0005-0000-0000-00001A000000}"/>
    <cellStyle name="Calculation 2" xfId="28" xr:uid="{00000000-0005-0000-0000-00001B000000}"/>
    <cellStyle name="Check Cell 2" xfId="29" xr:uid="{00000000-0005-0000-0000-00001C000000}"/>
    <cellStyle name="Comma" xfId="30" builtinId="3"/>
    <cellStyle name="Comma 2" xfId="31" xr:uid="{00000000-0005-0000-0000-00001E000000}"/>
    <cellStyle name="Comma 2 2" xfId="32" xr:uid="{00000000-0005-0000-0000-00001F000000}"/>
    <cellStyle name="Comma 2 2 2" xfId="132" xr:uid="{51EBEB76-DED8-4CBA-8517-2AEEE5B05B9B}"/>
    <cellStyle name="Comma 2 3" xfId="33" xr:uid="{00000000-0005-0000-0000-000020000000}"/>
    <cellStyle name="Comma 3" xfId="34" xr:uid="{00000000-0005-0000-0000-000021000000}"/>
    <cellStyle name="Comma 3 2" xfId="130" xr:uid="{DC98156C-55AF-4583-ABE6-DFF49DB2D9C8}"/>
    <cellStyle name="Comma 4" xfId="35" xr:uid="{00000000-0005-0000-0000-000022000000}"/>
    <cellStyle name="Currency" xfId="127" builtinId="4"/>
    <cellStyle name="Explanatory Text 2" xfId="36" xr:uid="{00000000-0005-0000-0000-000024000000}"/>
    <cellStyle name="Good 2" xfId="37" xr:uid="{00000000-0005-0000-0000-000025000000}"/>
    <cellStyle name="Heading 1 2" xfId="38" xr:uid="{00000000-0005-0000-0000-000026000000}"/>
    <cellStyle name="Heading 2 2" xfId="39" xr:uid="{00000000-0005-0000-0000-000027000000}"/>
    <cellStyle name="Heading 3 2" xfId="40" xr:uid="{00000000-0005-0000-0000-000028000000}"/>
    <cellStyle name="Heading 4 2" xfId="41" xr:uid="{00000000-0005-0000-0000-000029000000}"/>
    <cellStyle name="Hyperlink" xfId="129" builtinId="8"/>
    <cellStyle name="Input 2" xfId="42" xr:uid="{00000000-0005-0000-0000-00002A000000}"/>
    <cellStyle name="Linked Cell 2" xfId="43" xr:uid="{00000000-0005-0000-0000-00002B000000}"/>
    <cellStyle name="Neutral 2" xfId="44" xr:uid="{00000000-0005-0000-0000-00002C000000}"/>
    <cellStyle name="Normal" xfId="0" builtinId="0"/>
    <cellStyle name="Normal - Style1" xfId="45" xr:uid="{00000000-0005-0000-0000-00002E000000}"/>
    <cellStyle name="Normal - Style2" xfId="46" xr:uid="{00000000-0005-0000-0000-00002F000000}"/>
    <cellStyle name="Normal - Style3" xfId="47" xr:uid="{00000000-0005-0000-0000-000030000000}"/>
    <cellStyle name="Normal - Style4" xfId="48" xr:uid="{00000000-0005-0000-0000-000031000000}"/>
    <cellStyle name="Normal - Style5" xfId="49" xr:uid="{00000000-0005-0000-0000-000032000000}"/>
    <cellStyle name="Normal 10" xfId="50" xr:uid="{00000000-0005-0000-0000-000033000000}"/>
    <cellStyle name="Normal 10 2" xfId="51" xr:uid="{00000000-0005-0000-0000-000034000000}"/>
    <cellStyle name="Normal 11" xfId="52" xr:uid="{00000000-0005-0000-0000-000035000000}"/>
    <cellStyle name="Normal 11 2" xfId="53" xr:uid="{00000000-0005-0000-0000-000036000000}"/>
    <cellStyle name="Normal 11 3" xfId="54" xr:uid="{00000000-0005-0000-0000-000037000000}"/>
    <cellStyle name="Normal 12" xfId="55" xr:uid="{00000000-0005-0000-0000-000038000000}"/>
    <cellStyle name="Normal 12 2" xfId="56" xr:uid="{00000000-0005-0000-0000-000039000000}"/>
    <cellStyle name="Normal 13" xfId="57" xr:uid="{00000000-0005-0000-0000-00003A000000}"/>
    <cellStyle name="Normal 13 2" xfId="58" xr:uid="{00000000-0005-0000-0000-00003B000000}"/>
    <cellStyle name="Normal 14" xfId="59" xr:uid="{00000000-0005-0000-0000-00003C000000}"/>
    <cellStyle name="Normal 14 2" xfId="60" xr:uid="{00000000-0005-0000-0000-00003D000000}"/>
    <cellStyle name="Normal 15" xfId="61" xr:uid="{00000000-0005-0000-0000-00003E000000}"/>
    <cellStyle name="Normal 15 2" xfId="62" xr:uid="{00000000-0005-0000-0000-00003F000000}"/>
    <cellStyle name="Normal 16" xfId="63" xr:uid="{00000000-0005-0000-0000-000040000000}"/>
    <cellStyle name="Normal 16 2" xfId="64" xr:uid="{00000000-0005-0000-0000-000041000000}"/>
    <cellStyle name="Normal 17" xfId="65" xr:uid="{00000000-0005-0000-0000-000042000000}"/>
    <cellStyle name="Normal 18" xfId="66" xr:uid="{00000000-0005-0000-0000-000043000000}"/>
    <cellStyle name="Normal 18 2" xfId="67" xr:uid="{00000000-0005-0000-0000-000044000000}"/>
    <cellStyle name="Normal 19" xfId="68" xr:uid="{00000000-0005-0000-0000-000045000000}"/>
    <cellStyle name="Normal 2" xfId="69" xr:uid="{00000000-0005-0000-0000-000046000000}"/>
    <cellStyle name="Normal 2 2" xfId="70" xr:uid="{00000000-0005-0000-0000-000047000000}"/>
    <cellStyle name="Normal 2 3" xfId="71" xr:uid="{00000000-0005-0000-0000-000048000000}"/>
    <cellStyle name="Normal 2 4" xfId="72" xr:uid="{00000000-0005-0000-0000-000049000000}"/>
    <cellStyle name="Normal 2 5" xfId="73" xr:uid="{00000000-0005-0000-0000-00004A000000}"/>
    <cellStyle name="Normal 2_D00836 MYSM School Of Medicine m" xfId="74" xr:uid="{00000000-0005-0000-0000-00004B000000}"/>
    <cellStyle name="Normal 20" xfId="75" xr:uid="{00000000-0005-0000-0000-00004C000000}"/>
    <cellStyle name="Normal 20 2" xfId="76" xr:uid="{00000000-0005-0000-0000-00004D000000}"/>
    <cellStyle name="Normal 20 3" xfId="77" xr:uid="{00000000-0005-0000-0000-00004E000000}"/>
    <cellStyle name="Normal 21" xfId="78" xr:uid="{00000000-0005-0000-0000-00004F000000}"/>
    <cellStyle name="Normal 21 2" xfId="79" xr:uid="{00000000-0005-0000-0000-000050000000}"/>
    <cellStyle name="Normal 22" xfId="80" xr:uid="{00000000-0005-0000-0000-000051000000}"/>
    <cellStyle name="Normal 23" xfId="81" xr:uid="{00000000-0005-0000-0000-000052000000}"/>
    <cellStyle name="Normal 23 2" xfId="82" xr:uid="{00000000-0005-0000-0000-000053000000}"/>
    <cellStyle name="Normal 24" xfId="83" xr:uid="{00000000-0005-0000-0000-000054000000}"/>
    <cellStyle name="Normal 25" xfId="84" xr:uid="{00000000-0005-0000-0000-000055000000}"/>
    <cellStyle name="Normal 26" xfId="85" xr:uid="{00000000-0005-0000-0000-000056000000}"/>
    <cellStyle name="Normal 27" xfId="86" xr:uid="{00000000-0005-0000-0000-000057000000}"/>
    <cellStyle name="Normal 28" xfId="87" xr:uid="{00000000-0005-0000-0000-000058000000}"/>
    <cellStyle name="Normal 29" xfId="88" xr:uid="{00000000-0005-0000-0000-000059000000}"/>
    <cellStyle name="Normal 3" xfId="89" xr:uid="{00000000-0005-0000-0000-00005A000000}"/>
    <cellStyle name="Normal 3 2" xfId="90" xr:uid="{00000000-0005-0000-0000-00005B000000}"/>
    <cellStyle name="Normal 3 3" xfId="91" xr:uid="{00000000-0005-0000-0000-00005C000000}"/>
    <cellStyle name="Normal 3 4" xfId="92" xr:uid="{00000000-0005-0000-0000-00005D000000}"/>
    <cellStyle name="Normal 3 5" xfId="93" xr:uid="{00000000-0005-0000-0000-00005E000000}"/>
    <cellStyle name="Normal 30" xfId="94" xr:uid="{00000000-0005-0000-0000-00005F000000}"/>
    <cellStyle name="Normal 31" xfId="95" xr:uid="{00000000-0005-0000-0000-000060000000}"/>
    <cellStyle name="Normal 32" xfId="96" xr:uid="{00000000-0005-0000-0000-000061000000}"/>
    <cellStyle name="Normal 33" xfId="97" xr:uid="{00000000-0005-0000-0000-000062000000}"/>
    <cellStyle name="Normal 4 2" xfId="98" xr:uid="{00000000-0005-0000-0000-000063000000}"/>
    <cellStyle name="Normal 4 3" xfId="99" xr:uid="{00000000-0005-0000-0000-000064000000}"/>
    <cellStyle name="Normal 48" xfId="100" xr:uid="{00000000-0005-0000-0000-000065000000}"/>
    <cellStyle name="Normal 5" xfId="101" xr:uid="{00000000-0005-0000-0000-000066000000}"/>
    <cellStyle name="Normal 5 2" xfId="102" xr:uid="{00000000-0005-0000-0000-000067000000}"/>
    <cellStyle name="Normal 6" xfId="103" xr:uid="{00000000-0005-0000-0000-000068000000}"/>
    <cellStyle name="Normal 6 2" xfId="104" xr:uid="{00000000-0005-0000-0000-000069000000}"/>
    <cellStyle name="Normal 6 3" xfId="105" xr:uid="{00000000-0005-0000-0000-00006A000000}"/>
    <cellStyle name="Normal 62" xfId="106" xr:uid="{00000000-0005-0000-0000-00006B000000}"/>
    <cellStyle name="Normal 62 2" xfId="107" xr:uid="{00000000-0005-0000-0000-00006C000000}"/>
    <cellStyle name="Normal 65" xfId="108" xr:uid="{00000000-0005-0000-0000-00006D000000}"/>
    <cellStyle name="Normal 65 2" xfId="109" xr:uid="{00000000-0005-0000-0000-00006E000000}"/>
    <cellStyle name="Normal 7" xfId="110" xr:uid="{00000000-0005-0000-0000-00006F000000}"/>
    <cellStyle name="Normal 7 2" xfId="111" xr:uid="{00000000-0005-0000-0000-000070000000}"/>
    <cellStyle name="Normal 7 3" xfId="112" xr:uid="{00000000-0005-0000-0000-000071000000}"/>
    <cellStyle name="Normal 71" xfId="113" xr:uid="{00000000-0005-0000-0000-000072000000}"/>
    <cellStyle name="Normal 8" xfId="114" xr:uid="{00000000-0005-0000-0000-000073000000}"/>
    <cellStyle name="Normal 8 2" xfId="115" xr:uid="{00000000-0005-0000-0000-000074000000}"/>
    <cellStyle name="Normal 9" xfId="116" xr:uid="{00000000-0005-0000-0000-000075000000}"/>
    <cellStyle name="Normal 9 2" xfId="117" xr:uid="{00000000-0005-0000-0000-000076000000}"/>
    <cellStyle name="Note 2" xfId="118" xr:uid="{00000000-0005-0000-0000-000077000000}"/>
    <cellStyle name="Output 2" xfId="119" xr:uid="{00000000-0005-0000-0000-000078000000}"/>
    <cellStyle name="Percent" xfId="128" builtinId="5"/>
    <cellStyle name="Percent 2" xfId="120" xr:uid="{00000000-0005-0000-0000-00007A000000}"/>
    <cellStyle name="Percent 2 2" xfId="121" xr:uid="{00000000-0005-0000-0000-00007B000000}"/>
    <cellStyle name="Percent 3" xfId="122" xr:uid="{00000000-0005-0000-0000-00007C000000}"/>
    <cellStyle name="Percent 3 2" xfId="131" xr:uid="{CC4B0B94-8ED7-4E31-8499-846907E31BA2}"/>
    <cellStyle name="Style 1" xfId="123" xr:uid="{00000000-0005-0000-0000-00007D000000}"/>
    <cellStyle name="Title 2" xfId="124" xr:uid="{00000000-0005-0000-0000-00007E000000}"/>
    <cellStyle name="Total 2" xfId="125" xr:uid="{00000000-0005-0000-0000-00007F000000}"/>
    <cellStyle name="Warning Text 2" xfId="126" xr:uid="{00000000-0005-0000-0000-000080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3FC"/>
      <color rgb="FFFFE5FF"/>
      <color rgb="FFFFC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A$7" lockText="1" noThreeD="1"/>
</file>

<file path=xl/ctrlProps/ctrlProp12.xml><?xml version="1.0" encoding="utf-8"?>
<formControlPr xmlns="http://schemas.microsoft.com/office/spreadsheetml/2009/9/main" objectType="CheckBox" fmlaLink="$A$9" lockText="1" noThreeD="1"/>
</file>

<file path=xl/ctrlProps/ctrlProp13.xml><?xml version="1.0" encoding="utf-8"?>
<formControlPr xmlns="http://schemas.microsoft.com/office/spreadsheetml/2009/9/main" objectType="CheckBox" fmlaLink="$A$10" lockText="1" noThreeD="1"/>
</file>

<file path=xl/ctrlProps/ctrlProp14.xml><?xml version="1.0" encoding="utf-8"?>
<formControlPr xmlns="http://schemas.microsoft.com/office/spreadsheetml/2009/9/main" objectType="CheckBox" fmlaLink="$A$1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14</xdr:row>
          <xdr:rowOff>104775</xdr:rowOff>
        </xdr:from>
        <xdr:to>
          <xdr:col>6</xdr:col>
          <xdr:colOff>257175</xdr:colOff>
          <xdr:row>16</xdr:row>
          <xdr:rowOff>66675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PDDO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15</xdr:row>
          <xdr:rowOff>85725</xdr:rowOff>
        </xdr:from>
        <xdr:to>
          <xdr:col>7</xdr:col>
          <xdr:colOff>257175</xdr:colOff>
          <xdr:row>17</xdr:row>
          <xdr:rowOff>38100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0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Hospital Business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18</xdr:row>
          <xdr:rowOff>123825</xdr:rowOff>
        </xdr:from>
        <xdr:to>
          <xdr:col>6</xdr:col>
          <xdr:colOff>228600</xdr:colOff>
          <xdr:row>20</xdr:row>
          <xdr:rowOff>85725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0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PDDO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19</xdr:row>
          <xdr:rowOff>142875</xdr:rowOff>
        </xdr:from>
        <xdr:to>
          <xdr:col>9</xdr:col>
          <xdr:colOff>123825</xdr:colOff>
          <xdr:row>21</xdr:row>
          <xdr:rowOff>85725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0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Current funding for individual being replaced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23</xdr:row>
          <xdr:rowOff>85725</xdr:rowOff>
        </xdr:from>
        <xdr:to>
          <xdr:col>7</xdr:col>
          <xdr:colOff>85725</xdr:colOff>
          <xdr:row>24</xdr:row>
          <xdr:rowOff>171450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0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SBAR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24</xdr:row>
          <xdr:rowOff>76200</xdr:rowOff>
        </xdr:from>
        <xdr:to>
          <xdr:col>7</xdr:col>
          <xdr:colOff>542925</xdr:colOff>
          <xdr:row>26</xdr:row>
          <xdr:rowOff>9525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0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Funding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25</xdr:row>
          <xdr:rowOff>85725</xdr:rowOff>
        </xdr:from>
        <xdr:to>
          <xdr:col>7</xdr:col>
          <xdr:colOff>276225</xdr:colOff>
          <xdr:row>26</xdr:row>
          <xdr:rowOff>152400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0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Job Description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28</xdr:row>
          <xdr:rowOff>152400</xdr:rowOff>
        </xdr:from>
        <xdr:to>
          <xdr:col>6</xdr:col>
          <xdr:colOff>561975</xdr:colOff>
          <xdr:row>30</xdr:row>
          <xdr:rowOff>38100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0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SBAR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29</xdr:row>
          <xdr:rowOff>133350</xdr:rowOff>
        </xdr:from>
        <xdr:to>
          <xdr:col>7</xdr:col>
          <xdr:colOff>66675</xdr:colOff>
          <xdr:row>31</xdr:row>
          <xdr:rowOff>47625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0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Funding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30</xdr:row>
          <xdr:rowOff>161925</xdr:rowOff>
        </xdr:from>
        <xdr:to>
          <xdr:col>7</xdr:col>
          <xdr:colOff>352425</xdr:colOff>
          <xdr:row>32</xdr:row>
          <xdr:rowOff>47625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0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P&amp;L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13</xdr:row>
          <xdr:rowOff>104775</xdr:rowOff>
        </xdr:from>
        <xdr:to>
          <xdr:col>5</xdr:col>
          <xdr:colOff>542925</xdr:colOff>
          <xdr:row>15</xdr:row>
          <xdr:rowOff>104775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0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17</xdr:row>
          <xdr:rowOff>161925</xdr:rowOff>
        </xdr:from>
        <xdr:to>
          <xdr:col>7</xdr:col>
          <xdr:colOff>304800</xdr:colOff>
          <xdr:row>19</xdr:row>
          <xdr:rowOff>57150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0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21</xdr:row>
          <xdr:rowOff>180975</xdr:rowOff>
        </xdr:from>
        <xdr:to>
          <xdr:col>6</xdr:col>
          <xdr:colOff>428625</xdr:colOff>
          <xdr:row>23</xdr:row>
          <xdr:rowOff>38100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0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26</xdr:row>
          <xdr:rowOff>133350</xdr:rowOff>
        </xdr:from>
        <xdr:to>
          <xdr:col>7</xdr:col>
          <xdr:colOff>85725</xdr:colOff>
          <xdr:row>28</xdr:row>
          <xdr:rowOff>57150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0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71158</xdr:rowOff>
    </xdr:from>
    <xdr:to>
      <xdr:col>1</xdr:col>
      <xdr:colOff>466433</xdr:colOff>
      <xdr:row>1</xdr:row>
      <xdr:rowOff>162486</xdr:rowOff>
    </xdr:to>
    <xdr:pic>
      <xdr:nvPicPr>
        <xdr:cNvPr id="2" name="Picture 1" descr="https://medicine.yale.edu/ipc/what/identity/YSM_YaleWebBlue_RGB_tcm24-49082_tcm24-284-32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71158"/>
          <a:ext cx="3983960" cy="291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71158</xdr:rowOff>
    </xdr:from>
    <xdr:to>
      <xdr:col>1</xdr:col>
      <xdr:colOff>466433</xdr:colOff>
      <xdr:row>1</xdr:row>
      <xdr:rowOff>162486</xdr:rowOff>
    </xdr:to>
    <xdr:pic>
      <xdr:nvPicPr>
        <xdr:cNvPr id="2" name="Picture 1" descr="https://medicine.yale.edu/ipc/what/identity/YSM_YaleWebBlue_RGB_tcm24-49082_tcm24-284-32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71158"/>
          <a:ext cx="3983960" cy="291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55065</xdr:colOff>
      <xdr:row>0</xdr:row>
      <xdr:rowOff>56994</xdr:rowOff>
    </xdr:from>
    <xdr:to>
      <xdr:col>2</xdr:col>
      <xdr:colOff>936839</xdr:colOff>
      <xdr:row>2</xdr:row>
      <xdr:rowOff>12044</xdr:rowOff>
    </xdr:to>
    <xdr:pic>
      <xdr:nvPicPr>
        <xdr:cNvPr id="2" name="Picture 1" descr="https://medicine.yale.edu/ipc/what/identity/YSM_YaleWebBlue_RGB_tcm24-49082_tcm24-284-32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65" y="56994"/>
          <a:ext cx="3986924" cy="289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112058</xdr:rowOff>
    </xdr:from>
    <xdr:to>
      <xdr:col>4</xdr:col>
      <xdr:colOff>834389</xdr:colOff>
      <xdr:row>3</xdr:row>
      <xdr:rowOff>108678</xdr:rowOff>
    </xdr:to>
    <xdr:pic>
      <xdr:nvPicPr>
        <xdr:cNvPr id="4" name="Picture 3" descr="https://medicine.yale.edu/ipc/what/identity/YSM_YaleWebBlue_RGB_tcm24-49082_tcm24-284-32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302558"/>
          <a:ext cx="5535705" cy="40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11207</xdr:colOff>
      <xdr:row>1</xdr:row>
      <xdr:rowOff>78442</xdr:rowOff>
    </xdr:from>
    <xdr:to>
      <xdr:col>5</xdr:col>
      <xdr:colOff>885265</xdr:colOff>
      <xdr:row>3</xdr:row>
      <xdr:rowOff>102276</xdr:rowOff>
    </xdr:to>
    <xdr:pic>
      <xdr:nvPicPr>
        <xdr:cNvPr id="4" name="Picture 3" descr="https://medicine.yale.edu/ipc/what/identity/YSM_YaleWebBlue_RGB_tcm24-49082_tcm24-284-32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6" y="268942"/>
          <a:ext cx="5535705" cy="40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28575</xdr:rowOff>
    </xdr:from>
    <xdr:to>
      <xdr:col>4</xdr:col>
      <xdr:colOff>877345</xdr:colOff>
      <xdr:row>2</xdr:row>
      <xdr:rowOff>118947</xdr:rowOff>
    </xdr:to>
    <xdr:pic>
      <xdr:nvPicPr>
        <xdr:cNvPr id="2" name="Picture 1" descr="https://medicine.yale.edu/ipc/what/identity/YSM_YaleWebBlue_RGB_tcm24-49082_tcm24-284-32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19075"/>
          <a:ext cx="3982495" cy="289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123825</xdr:rowOff>
    </xdr:from>
    <xdr:to>
      <xdr:col>9</xdr:col>
      <xdr:colOff>220755</xdr:colOff>
      <xdr:row>2</xdr:row>
      <xdr:rowOff>147659</xdr:rowOff>
    </xdr:to>
    <xdr:pic>
      <xdr:nvPicPr>
        <xdr:cNvPr id="4" name="Picture 3" descr="https://medicine.yale.edu/ipc/what/identity/YSM_YaleWebBlue_RGB_tcm24-49082_tcm24-284-32.gif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3825"/>
          <a:ext cx="5535705" cy="40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im%20Gomer\FY%202020\Shared%20Services\Template\FY20%20RFP%20Template%20-%20Locked-%20V2020.2.0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Plan"/>
      <sheetName val="RFP Summary"/>
      <sheetName val="YSM-YM Clinical Plan"/>
      <sheetName val="AF Summary Template"/>
      <sheetName val="Salary Build Sheet (Clinical)"/>
      <sheetName val="Non-Salary Build (Clinical)"/>
      <sheetName val="YSM-YM Research Plan"/>
      <sheetName val="Salary Build Sheet (Research)"/>
      <sheetName val="Non-Salary Build (Research)"/>
      <sheetName val="Assumptions"/>
      <sheetName val="Contractual Calculator"/>
      <sheetName val="I&amp;A Calculator"/>
      <sheetName val="Accounting Instructions"/>
      <sheetName val="Revenue Build"/>
      <sheetName val="Definitions "/>
      <sheetName val="Version Notes"/>
      <sheetName val="Notes &amp; Assumptions"/>
      <sheetName val="Research Depository"/>
      <sheetName val="Depository for MD"/>
      <sheetName val="AAMC Data"/>
      <sheetName val="Depository1"/>
    </sheetNames>
    <sheetDataSet>
      <sheetData sheetId="0"/>
      <sheetData sheetId="1"/>
      <sheetData sheetId="2">
        <row r="14">
          <cell r="F14"/>
          <cell r="G14">
            <v>1000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9">
          <cell r="C19" t="str">
            <v>NIH Salary Cap</v>
          </cell>
          <cell r="D19">
            <v>192300</v>
          </cell>
        </row>
        <row r="20">
          <cell r="C20" t="str">
            <v>Custom Cap</v>
          </cell>
          <cell r="D20">
            <v>100000</v>
          </cell>
        </row>
        <row r="25">
          <cell r="C25" t="str">
            <v>On-Campus</v>
          </cell>
          <cell r="D25">
            <v>0.67500000000000004</v>
          </cell>
        </row>
        <row r="26">
          <cell r="C26" t="str">
            <v>On-Campus Department of Defense</v>
          </cell>
          <cell r="D26">
            <v>0.69899999999999995</v>
          </cell>
        </row>
        <row r="27">
          <cell r="C27" t="str">
            <v>Off Campus</v>
          </cell>
          <cell r="D27">
            <v>0.26</v>
          </cell>
        </row>
        <row r="28">
          <cell r="C28" t="str">
            <v>CMHC</v>
          </cell>
          <cell r="D28">
            <v>0.47</v>
          </cell>
        </row>
        <row r="29">
          <cell r="C29" t="str">
            <v>VA</v>
          </cell>
          <cell r="D29">
            <v>0.309</v>
          </cell>
        </row>
        <row r="30">
          <cell r="C30" t="str">
            <v>Other Federally Sponsored Activities - On Campus</v>
          </cell>
          <cell r="D30">
            <v>0.43</v>
          </cell>
        </row>
        <row r="31">
          <cell r="C31" t="str">
            <v>Other Federally Sponsored Activities - Off Campus</v>
          </cell>
          <cell r="D31">
            <v>0.26</v>
          </cell>
        </row>
        <row r="32">
          <cell r="C32" t="str">
            <v>Private &lt; $10K</v>
          </cell>
          <cell r="D32">
            <v>0.1</v>
          </cell>
        </row>
        <row r="33">
          <cell r="C33" t="str">
            <v>Private $10K-$25K</v>
          </cell>
          <cell r="D33">
            <v>0.25</v>
          </cell>
        </row>
        <row r="34">
          <cell r="C34" t="str">
            <v>Industry Clinical Trials</v>
          </cell>
          <cell r="D34">
            <v>0.23080000000000001</v>
          </cell>
        </row>
        <row r="35">
          <cell r="C35" t="str">
            <v>Fellowships</v>
          </cell>
          <cell r="D35">
            <v>0.08</v>
          </cell>
        </row>
        <row r="36">
          <cell r="C36" t="str">
            <v>Training Grants</v>
          </cell>
          <cell r="D36">
            <v>0.08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C3" t="str">
            <v>On-Campus</v>
          </cell>
          <cell r="E3" t="str">
            <v>NIH Salary Cap</v>
          </cell>
          <cell r="G3" t="str">
            <v>Yes</v>
          </cell>
        </row>
        <row r="4">
          <cell r="C4" t="str">
            <v>On-Campus Department of Defense</v>
          </cell>
          <cell r="E4" t="str">
            <v>Custom Cap</v>
          </cell>
          <cell r="G4" t="str">
            <v>No</v>
          </cell>
        </row>
        <row r="5">
          <cell r="C5" t="str">
            <v>Off Campus</v>
          </cell>
          <cell r="E5" t="str">
            <v>No Cap</v>
          </cell>
          <cell r="G5" t="str">
            <v>Subaward Cap</v>
          </cell>
        </row>
        <row r="6">
          <cell r="C6" t="str">
            <v>CMHC</v>
          </cell>
          <cell r="G6" t="str">
            <v>Custom Cap</v>
          </cell>
        </row>
        <row r="7">
          <cell r="C7" t="str">
            <v>VA</v>
          </cell>
        </row>
        <row r="8">
          <cell r="C8" t="str">
            <v>Other Federally Sponsored Activities - On Campus</v>
          </cell>
        </row>
        <row r="9">
          <cell r="C9" t="str">
            <v>Other Federally Sponsored Activities - Off Campus</v>
          </cell>
        </row>
        <row r="10">
          <cell r="C10" t="str">
            <v>Private &lt; $10K</v>
          </cell>
        </row>
        <row r="11">
          <cell r="C11" t="str">
            <v>Private $10K-$25K</v>
          </cell>
        </row>
        <row r="12">
          <cell r="C12" t="str">
            <v>Industry Clinical Trials</v>
          </cell>
        </row>
        <row r="13">
          <cell r="C13" t="str">
            <v>Fellowships</v>
          </cell>
        </row>
        <row r="14">
          <cell r="C14" t="str">
            <v>Training Grants</v>
          </cell>
        </row>
        <row r="15">
          <cell r="C15" t="str">
            <v>Unrestricted Clinical Trial</v>
          </cell>
        </row>
        <row r="16">
          <cell r="C16" t="str">
            <v>Multiple Awards (Use Custom Indirect Rate)</v>
          </cell>
        </row>
      </sheetData>
      <sheetData sheetId="18">
        <row r="2">
          <cell r="L2" t="str">
            <v>Clinical</v>
          </cell>
        </row>
        <row r="3">
          <cell r="L3" t="str">
            <v>Non-Clinical</v>
          </cell>
        </row>
      </sheetData>
      <sheetData sheetId="19"/>
      <sheetData sheetId="20">
        <row r="5">
          <cell r="H5" t="str">
            <v>Anesthesiology</v>
          </cell>
          <cell r="P5" t="str">
            <v>wRVUs</v>
          </cell>
        </row>
        <row r="6">
          <cell r="H6" t="str">
            <v>Comprehensive Cancer Center</v>
          </cell>
          <cell r="P6" t="str">
            <v>UHC RVUs</v>
          </cell>
        </row>
        <row r="7">
          <cell r="H7" t="str">
            <v>Clinical Affairs</v>
          </cell>
          <cell r="P7" t="str">
            <v>Units</v>
          </cell>
        </row>
        <row r="8">
          <cell r="H8" t="str">
            <v>Center for Musculoskeletal Care</v>
          </cell>
          <cell r="P8" t="str">
            <v>Time Units</v>
          </cell>
        </row>
        <row r="9">
          <cell r="H9" t="str">
            <v>Child Study Center</v>
          </cell>
          <cell r="P9" t="str">
            <v>Visits</v>
          </cell>
        </row>
        <row r="10">
          <cell r="H10" t="str">
            <v>Dermatology</v>
          </cell>
          <cell r="P10" t="str">
            <v>Cases</v>
          </cell>
        </row>
        <row r="11">
          <cell r="H11" t="str">
            <v>Radiology and Biomedical Imaging</v>
          </cell>
          <cell r="P11" t="str">
            <v>Other (Please Explain in Notes)</v>
          </cell>
        </row>
        <row r="12">
          <cell r="H12" t="str">
            <v>Emergency Medicine</v>
          </cell>
        </row>
        <row r="13">
          <cell r="H13" t="str">
            <v>Genetics</v>
          </cell>
        </row>
        <row r="14">
          <cell r="H14" t="str">
            <v>Internal Medicine</v>
          </cell>
        </row>
        <row r="15">
          <cell r="H15" t="str">
            <v>Laboratory Medicine</v>
          </cell>
        </row>
        <row r="16">
          <cell r="H16" t="str">
            <v>Neurology</v>
          </cell>
        </row>
        <row r="17">
          <cell r="B17">
            <v>0.4</v>
          </cell>
          <cell r="C17">
            <v>0.4</v>
          </cell>
          <cell r="D17">
            <v>0.4</v>
          </cell>
          <cell r="H17" t="str">
            <v>Neurosurgery</v>
          </cell>
        </row>
        <row r="18">
          <cell r="B18">
            <v>0.45</v>
          </cell>
          <cell r="C18">
            <v>0.45</v>
          </cell>
          <cell r="D18">
            <v>0.45</v>
          </cell>
          <cell r="H18" t="str">
            <v>Obstetrics &amp; Gynecology</v>
          </cell>
        </row>
        <row r="19">
          <cell r="B19">
            <v>0.5</v>
          </cell>
          <cell r="C19">
            <v>0.5</v>
          </cell>
          <cell r="D19">
            <v>0.5</v>
          </cell>
          <cell r="H19" t="str">
            <v>Ophthalmology and Visual Science</v>
          </cell>
        </row>
        <row r="20">
          <cell r="B20">
            <v>0.55000000000000004</v>
          </cell>
          <cell r="C20">
            <v>0.55000000000000004</v>
          </cell>
          <cell r="D20">
            <v>0.55000000000000004</v>
          </cell>
          <cell r="H20" t="str">
            <v>Orthopaedics and Rehabilitation</v>
          </cell>
        </row>
        <row r="21">
          <cell r="B21">
            <v>0.6</v>
          </cell>
          <cell r="C21">
            <v>0.6</v>
          </cell>
          <cell r="D21">
            <v>0.6</v>
          </cell>
          <cell r="H21" t="str">
            <v>Pathology</v>
          </cell>
        </row>
        <row r="22">
          <cell r="B22">
            <v>0.65</v>
          </cell>
          <cell r="C22">
            <v>0.65</v>
          </cell>
          <cell r="D22">
            <v>0.65</v>
          </cell>
          <cell r="H22" t="str">
            <v>Pediatrics</v>
          </cell>
        </row>
        <row r="23">
          <cell r="B23">
            <v>0.7</v>
          </cell>
          <cell r="C23">
            <v>0.7</v>
          </cell>
          <cell r="D23">
            <v>0.7</v>
          </cell>
          <cell r="H23" t="str">
            <v>Psychiatry</v>
          </cell>
        </row>
        <row r="24">
          <cell r="B24">
            <v>0.75</v>
          </cell>
          <cell r="C24">
            <v>0.75</v>
          </cell>
          <cell r="D24">
            <v>0.75</v>
          </cell>
          <cell r="H24" t="str">
            <v>Surgery</v>
          </cell>
        </row>
        <row r="25">
          <cell r="B25">
            <v>0.8</v>
          </cell>
          <cell r="C25">
            <v>0.8</v>
          </cell>
          <cell r="D25">
            <v>0.8</v>
          </cell>
          <cell r="H25" t="str">
            <v>Therapeutic Radiology</v>
          </cell>
          <cell r="M25" t="str">
            <v>Assisstant Professor</v>
          </cell>
        </row>
        <row r="26">
          <cell r="B26">
            <v>0.85</v>
          </cell>
          <cell r="C26">
            <v>0.85</v>
          </cell>
          <cell r="D26">
            <v>0.85</v>
          </cell>
          <cell r="H26" t="str">
            <v>Urology</v>
          </cell>
          <cell r="M26" t="str">
            <v xml:space="preserve">Associate Professor </v>
          </cell>
        </row>
        <row r="27">
          <cell r="B27">
            <v>0.9</v>
          </cell>
          <cell r="C27">
            <v>0.9</v>
          </cell>
          <cell r="D27">
            <v>0.9</v>
          </cell>
          <cell r="H27" t="str">
            <v>YM Multi-Specialty Clinics</v>
          </cell>
          <cell r="M27" t="str">
            <v xml:space="preserve">Clinician </v>
          </cell>
        </row>
        <row r="28">
          <cell r="B28">
            <v>0.95</v>
          </cell>
          <cell r="C28">
            <v>0.95</v>
          </cell>
          <cell r="D28">
            <v>0.95</v>
          </cell>
          <cell r="M28" t="str">
            <v>Instructor</v>
          </cell>
        </row>
        <row r="29">
          <cell r="B29">
            <v>1</v>
          </cell>
          <cell r="C29">
            <v>1</v>
          </cell>
          <cell r="D29">
            <v>1</v>
          </cell>
          <cell r="M29" t="str">
            <v>Medical Director</v>
          </cell>
        </row>
        <row r="30">
          <cell r="M30" t="str">
            <v xml:space="preserve">Professor </v>
          </cell>
        </row>
        <row r="32">
          <cell r="B32" t="str">
            <v>FY 2020</v>
          </cell>
        </row>
        <row r="33">
          <cell r="B33" t="str">
            <v>FY 2021</v>
          </cell>
        </row>
        <row r="34">
          <cell r="B34" t="str">
            <v>FY 2022</v>
          </cell>
        </row>
        <row r="35">
          <cell r="B35" t="str">
            <v>FY 2023</v>
          </cell>
        </row>
        <row r="36">
          <cell r="B36" t="str">
            <v>FY 2024</v>
          </cell>
        </row>
        <row r="37">
          <cell r="B37" t="str">
            <v>FY 2025</v>
          </cell>
        </row>
        <row r="38">
          <cell r="B38" t="str">
            <v>FY 2026</v>
          </cell>
        </row>
        <row r="39">
          <cell r="B39" t="str">
            <v>FY 2027</v>
          </cell>
        </row>
        <row r="40">
          <cell r="B40" t="str">
            <v>FY 2028</v>
          </cell>
        </row>
        <row r="50">
          <cell r="M50" t="str">
            <v>Yes</v>
          </cell>
        </row>
        <row r="51">
          <cell r="M5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your.yale.edu/research-support/office-sponsored-projects/institutional-information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your.yale.edu/policies-procedures/guides/controllers-office-factshee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83F9D-D32A-416C-B8A4-15F122D76EBD}">
  <sheetPr>
    <tabColor theme="8" tint="-0.499984740745262"/>
  </sheetPr>
  <dimension ref="A1:T33"/>
  <sheetViews>
    <sheetView showGridLines="0" topLeftCell="C1" zoomScale="115" zoomScaleNormal="115" zoomScaleSheetLayoutView="80" workbookViewId="0">
      <pane ySplit="11" topLeftCell="A12" activePane="bottomLeft" state="frozen"/>
      <selection pane="bottomLeft" activeCell="I25" sqref="I25"/>
    </sheetView>
  </sheetViews>
  <sheetFormatPr defaultRowHeight="15" x14ac:dyDescent="0.25"/>
  <cols>
    <col min="1" max="2" width="8.7109375" hidden="1" customWidth="1"/>
    <col min="3" max="3" width="2.140625" customWidth="1"/>
    <col min="4" max="4" width="4.42578125" customWidth="1"/>
    <col min="6" max="6" width="19.28515625" customWidth="1"/>
    <col min="9" max="9" width="8.7109375" customWidth="1"/>
    <col min="10" max="10" width="10.140625" customWidth="1"/>
    <col min="11" max="11" width="18.42578125" customWidth="1"/>
    <col min="18" max="18" width="12.5703125" customWidth="1"/>
    <col min="21" max="21" width="28.42578125" customWidth="1"/>
  </cols>
  <sheetData>
    <row r="1" spans="1:20" ht="15.75" thickBot="1" x14ac:dyDescent="0.3">
      <c r="C1" s="606" t="s">
        <v>664</v>
      </c>
      <c r="D1" s="606"/>
      <c r="E1" s="606"/>
      <c r="F1" s="606"/>
      <c r="G1" s="583" t="s">
        <v>665</v>
      </c>
      <c r="H1" s="583"/>
      <c r="I1" s="583"/>
      <c r="J1" s="583"/>
      <c r="K1" s="584"/>
    </row>
    <row r="2" spans="1:20" x14ac:dyDescent="0.25">
      <c r="C2" s="584"/>
      <c r="D2" s="584"/>
      <c r="E2" s="584"/>
      <c r="F2" s="584"/>
      <c r="G2" s="583"/>
      <c r="H2" s="606" t="s">
        <v>666</v>
      </c>
      <c r="I2" s="607"/>
      <c r="J2" s="585"/>
      <c r="K2" s="584"/>
    </row>
    <row r="3" spans="1:20" ht="15.75" thickBot="1" x14ac:dyDescent="0.3">
      <c r="C3" s="606"/>
      <c r="D3" s="606"/>
      <c r="E3" s="606"/>
      <c r="F3" s="606"/>
      <c r="G3" s="583"/>
      <c r="H3" s="606" t="s">
        <v>667</v>
      </c>
      <c r="I3" s="607"/>
      <c r="J3" s="586"/>
      <c r="K3" s="583"/>
      <c r="S3" s="608"/>
      <c r="T3" s="608"/>
    </row>
    <row r="4" spans="1:20" x14ac:dyDescent="0.25">
      <c r="C4" s="583"/>
      <c r="D4" s="609" t="s">
        <v>668</v>
      </c>
      <c r="E4" s="609"/>
      <c r="F4" s="609"/>
      <c r="G4" s="609"/>
      <c r="H4" s="609"/>
      <c r="I4" s="609"/>
      <c r="J4" s="609"/>
      <c r="K4" s="609"/>
      <c r="S4" s="608"/>
      <c r="T4" s="608"/>
    </row>
    <row r="5" spans="1:20" x14ac:dyDescent="0.25">
      <c r="C5" s="583"/>
      <c r="D5" s="583"/>
      <c r="E5" s="610" t="s">
        <v>669</v>
      </c>
      <c r="F5" s="610"/>
      <c r="G5" s="583"/>
      <c r="H5" s="583"/>
      <c r="I5" s="583"/>
      <c r="J5" s="583"/>
      <c r="K5" s="583"/>
    </row>
    <row r="6" spans="1:20" x14ac:dyDescent="0.25">
      <c r="C6" s="583"/>
      <c r="D6" s="583"/>
      <c r="E6" s="610" t="s">
        <v>670</v>
      </c>
      <c r="F6" s="610"/>
      <c r="G6" s="583"/>
      <c r="H6" s="583"/>
      <c r="I6" s="583"/>
      <c r="J6" s="583"/>
      <c r="K6" s="583"/>
    </row>
    <row r="7" spans="1:20" ht="15.75" x14ac:dyDescent="0.25">
      <c r="A7" s="587" t="b">
        <v>0</v>
      </c>
      <c r="B7" s="587" t="s">
        <v>671</v>
      </c>
      <c r="C7" s="588" t="str">
        <f>IF(A7=FALSE," ",B7)</f>
        <v xml:space="preserve"> </v>
      </c>
      <c r="D7" s="583"/>
      <c r="E7" s="583" t="s">
        <v>672</v>
      </c>
      <c r="F7" s="583"/>
      <c r="G7" s="589"/>
      <c r="H7" s="583"/>
      <c r="I7" s="583"/>
      <c r="J7" s="583"/>
      <c r="K7" s="583"/>
    </row>
    <row r="8" spans="1:20" ht="16.5" thickBot="1" x14ac:dyDescent="0.3">
      <c r="A8" s="587"/>
      <c r="B8" s="587"/>
      <c r="C8" s="588"/>
      <c r="D8" s="583"/>
      <c r="E8" s="583"/>
      <c r="F8" s="589" t="s">
        <v>673</v>
      </c>
      <c r="G8" s="589"/>
      <c r="H8" s="583"/>
      <c r="I8" s="583"/>
      <c r="J8" s="583"/>
      <c r="K8" s="583"/>
    </row>
    <row r="9" spans="1:20" ht="30.75" customHeight="1" x14ac:dyDescent="0.25">
      <c r="A9" s="587" t="b">
        <v>0</v>
      </c>
      <c r="B9" s="587" t="s">
        <v>136</v>
      </c>
      <c r="C9" s="590" t="str">
        <f t="shared" ref="C9:C11" si="0">IF(A9=FALSE," ",B9)</f>
        <v xml:space="preserve"> </v>
      </c>
      <c r="D9" s="584"/>
      <c r="E9" s="597"/>
      <c r="F9" s="598"/>
      <c r="G9" s="598"/>
      <c r="H9" s="598"/>
      <c r="I9" s="598"/>
      <c r="J9" s="598"/>
      <c r="K9" s="599"/>
      <c r="L9" s="591"/>
      <c r="M9" s="591"/>
      <c r="N9" s="591"/>
      <c r="O9" s="591"/>
      <c r="P9" s="591"/>
      <c r="Q9" s="591"/>
      <c r="R9" s="591"/>
    </row>
    <row r="10" spans="1:20" ht="30.75" customHeight="1" x14ac:dyDescent="0.25">
      <c r="A10" s="587" t="b">
        <v>0</v>
      </c>
      <c r="B10" s="587" t="s">
        <v>203</v>
      </c>
      <c r="C10" s="590" t="str">
        <f t="shared" si="0"/>
        <v xml:space="preserve"> </v>
      </c>
      <c r="D10" s="584"/>
      <c r="E10" s="600"/>
      <c r="F10" s="601"/>
      <c r="G10" s="601"/>
      <c r="H10" s="601"/>
      <c r="I10" s="601"/>
      <c r="J10" s="601"/>
      <c r="K10" s="602"/>
      <c r="L10" s="591"/>
      <c r="M10" s="591"/>
      <c r="N10" s="591"/>
      <c r="O10" s="591"/>
      <c r="P10" s="591"/>
      <c r="Q10" s="591"/>
      <c r="R10" s="591"/>
    </row>
    <row r="11" spans="1:20" ht="30.75" customHeight="1" thickBot="1" x14ac:dyDescent="0.3">
      <c r="A11" s="587" t="b">
        <v>0</v>
      </c>
      <c r="B11" s="587" t="s">
        <v>674</v>
      </c>
      <c r="C11" s="590" t="str">
        <f t="shared" si="0"/>
        <v xml:space="preserve"> </v>
      </c>
      <c r="D11" s="584"/>
      <c r="E11" s="603"/>
      <c r="F11" s="604"/>
      <c r="G11" s="604"/>
      <c r="H11" s="604"/>
      <c r="I11" s="604"/>
      <c r="J11" s="604"/>
      <c r="K11" s="605"/>
      <c r="L11" s="591"/>
      <c r="M11" s="591"/>
      <c r="N11" s="591"/>
      <c r="O11" s="591"/>
      <c r="P11" s="591"/>
      <c r="Q11" s="591"/>
      <c r="R11" s="591"/>
    </row>
    <row r="12" spans="1:20" x14ac:dyDescent="0.25">
      <c r="C12" s="592"/>
      <c r="D12" s="592"/>
      <c r="E12" s="592"/>
      <c r="F12" s="592"/>
      <c r="G12" s="592"/>
      <c r="H12" s="592"/>
      <c r="I12" s="592"/>
      <c r="J12" s="592"/>
      <c r="K12" s="592"/>
    </row>
    <row r="13" spans="1:20" x14ac:dyDescent="0.25">
      <c r="C13" s="592"/>
      <c r="D13" s="592" t="s">
        <v>675</v>
      </c>
      <c r="E13" s="592"/>
      <c r="F13" s="592"/>
      <c r="G13" s="592"/>
      <c r="H13" s="592"/>
      <c r="I13" s="592"/>
      <c r="J13" s="592"/>
      <c r="K13" s="592"/>
    </row>
    <row r="14" spans="1:20" x14ac:dyDescent="0.25">
      <c r="C14" s="592"/>
      <c r="D14" s="592"/>
      <c r="E14" s="593" t="s">
        <v>676</v>
      </c>
      <c r="F14" s="592"/>
      <c r="G14" s="592"/>
      <c r="H14" s="592"/>
      <c r="I14" s="592"/>
      <c r="J14" s="592"/>
      <c r="K14" s="592"/>
    </row>
    <row r="15" spans="1:20" x14ac:dyDescent="0.25">
      <c r="C15" s="592"/>
      <c r="D15" s="592"/>
      <c r="E15" s="592" t="s">
        <v>677</v>
      </c>
      <c r="F15" s="592" t="s">
        <v>678</v>
      </c>
      <c r="G15" s="592"/>
      <c r="H15" s="592"/>
      <c r="I15" s="592"/>
      <c r="J15" s="592"/>
      <c r="K15" s="592"/>
    </row>
    <row r="16" spans="1:20" x14ac:dyDescent="0.25">
      <c r="C16" s="592"/>
      <c r="D16" s="592"/>
      <c r="E16" s="592"/>
      <c r="F16" s="592"/>
      <c r="G16" s="592"/>
      <c r="H16" s="592"/>
      <c r="I16" s="592"/>
      <c r="J16" s="592"/>
      <c r="K16" s="592"/>
    </row>
    <row r="17" spans="3:11" x14ac:dyDescent="0.25">
      <c r="C17" s="592"/>
      <c r="D17" s="592"/>
      <c r="E17" s="592"/>
      <c r="F17" s="592"/>
      <c r="G17" s="592"/>
      <c r="H17" s="592"/>
      <c r="I17" s="592"/>
      <c r="J17" s="592"/>
      <c r="K17" s="592"/>
    </row>
    <row r="18" spans="3:11" x14ac:dyDescent="0.25">
      <c r="C18" s="592"/>
      <c r="D18" s="592"/>
      <c r="E18" s="592"/>
      <c r="F18" s="592"/>
      <c r="G18" s="592"/>
      <c r="H18" s="592"/>
      <c r="I18" s="592"/>
      <c r="J18" s="592"/>
      <c r="K18" s="592"/>
    </row>
    <row r="19" spans="3:11" x14ac:dyDescent="0.25">
      <c r="C19" s="592"/>
      <c r="D19" s="592"/>
      <c r="E19" s="592" t="s">
        <v>679</v>
      </c>
      <c r="F19" s="592" t="s">
        <v>136</v>
      </c>
      <c r="G19" s="592"/>
      <c r="H19" s="592"/>
      <c r="I19" s="592"/>
      <c r="J19" s="592"/>
      <c r="K19" s="592"/>
    </row>
    <row r="20" spans="3:11" x14ac:dyDescent="0.25">
      <c r="C20" s="592"/>
      <c r="D20" s="592"/>
      <c r="E20" s="592"/>
      <c r="F20" s="592"/>
      <c r="G20" s="592"/>
      <c r="H20" s="592"/>
      <c r="I20" s="592"/>
      <c r="J20" s="592"/>
      <c r="K20" s="592"/>
    </row>
    <row r="21" spans="3:11" x14ac:dyDescent="0.25">
      <c r="C21" s="592"/>
      <c r="D21" s="592"/>
      <c r="E21" s="592"/>
      <c r="F21" s="592"/>
      <c r="G21" s="592"/>
      <c r="H21" s="592"/>
      <c r="I21" s="592"/>
      <c r="J21" s="592"/>
      <c r="K21" s="592"/>
    </row>
    <row r="22" spans="3:11" x14ac:dyDescent="0.25">
      <c r="C22" s="592"/>
      <c r="D22" s="592"/>
      <c r="E22" s="592"/>
      <c r="F22" s="592"/>
      <c r="G22" s="592"/>
      <c r="H22" s="592"/>
      <c r="I22" s="592"/>
      <c r="J22" s="592"/>
      <c r="K22" s="592"/>
    </row>
    <row r="23" spans="3:11" x14ac:dyDescent="0.25">
      <c r="C23" s="592"/>
      <c r="D23" s="592"/>
      <c r="E23" s="592" t="s">
        <v>680</v>
      </c>
      <c r="F23" s="592" t="s">
        <v>203</v>
      </c>
      <c r="G23" s="592"/>
      <c r="H23" s="592"/>
      <c r="I23" s="592"/>
      <c r="J23" s="592"/>
      <c r="K23" s="592"/>
    </row>
    <row r="24" spans="3:11" x14ac:dyDescent="0.25">
      <c r="C24" s="592"/>
      <c r="D24" s="592"/>
      <c r="E24" s="592"/>
      <c r="F24" s="592"/>
      <c r="G24" s="592"/>
      <c r="H24" s="592"/>
      <c r="I24" s="592"/>
      <c r="J24" s="592"/>
      <c r="K24" s="592"/>
    </row>
    <row r="25" spans="3:11" x14ac:dyDescent="0.25">
      <c r="C25" s="592"/>
      <c r="D25" s="592"/>
      <c r="E25" s="592"/>
      <c r="F25" s="592"/>
      <c r="G25" s="592"/>
      <c r="H25" s="592"/>
      <c r="I25" s="592"/>
      <c r="J25" s="592"/>
      <c r="K25" s="592"/>
    </row>
    <row r="26" spans="3:11" x14ac:dyDescent="0.25">
      <c r="C26" s="592"/>
      <c r="D26" s="592"/>
      <c r="E26" s="592"/>
      <c r="F26" s="592"/>
      <c r="G26" s="592"/>
      <c r="H26" s="592"/>
      <c r="I26" s="592"/>
      <c r="J26" s="592"/>
      <c r="K26" s="592"/>
    </row>
    <row r="27" spans="3:11" x14ac:dyDescent="0.25">
      <c r="C27" s="592"/>
      <c r="D27" s="592"/>
      <c r="E27" s="592"/>
      <c r="F27" s="592"/>
      <c r="G27" s="592"/>
      <c r="H27" s="592"/>
      <c r="I27" s="592"/>
      <c r="J27" s="592"/>
      <c r="K27" s="592"/>
    </row>
    <row r="28" spans="3:11" x14ac:dyDescent="0.25">
      <c r="C28" s="592"/>
      <c r="D28" s="592"/>
      <c r="E28" s="592" t="s">
        <v>681</v>
      </c>
      <c r="F28" s="592" t="s">
        <v>682</v>
      </c>
      <c r="G28" s="592"/>
      <c r="H28" s="592"/>
      <c r="I28" s="592"/>
      <c r="J28" s="592"/>
      <c r="K28" s="592"/>
    </row>
    <row r="29" spans="3:11" x14ac:dyDescent="0.25">
      <c r="C29" s="592"/>
      <c r="D29" s="592"/>
      <c r="E29" s="592"/>
      <c r="F29" s="592"/>
      <c r="G29" s="592"/>
      <c r="H29" s="592"/>
      <c r="I29" s="592"/>
      <c r="J29" s="592"/>
      <c r="K29" s="592"/>
    </row>
    <row r="30" spans="3:11" x14ac:dyDescent="0.25">
      <c r="C30" s="592"/>
      <c r="D30" s="592"/>
      <c r="E30" s="592"/>
      <c r="F30" s="592"/>
      <c r="G30" s="592"/>
      <c r="H30" s="592"/>
      <c r="I30" s="592"/>
      <c r="J30" s="592"/>
      <c r="K30" s="592"/>
    </row>
    <row r="31" spans="3:11" x14ac:dyDescent="0.25">
      <c r="C31" s="592"/>
      <c r="D31" s="592"/>
      <c r="E31" s="592"/>
      <c r="F31" s="592"/>
      <c r="G31" s="592"/>
      <c r="H31" s="592"/>
      <c r="I31" s="592"/>
      <c r="J31" s="592"/>
      <c r="K31" s="592"/>
    </row>
    <row r="32" spans="3:11" x14ac:dyDescent="0.25">
      <c r="C32" s="592"/>
      <c r="D32" s="592"/>
      <c r="E32" s="592"/>
      <c r="F32" s="592"/>
      <c r="G32" s="592"/>
      <c r="H32" s="592"/>
      <c r="I32" s="592"/>
      <c r="J32" s="592"/>
      <c r="K32" s="592"/>
    </row>
    <row r="33" spans="3:11" x14ac:dyDescent="0.25">
      <c r="C33" s="592"/>
      <c r="D33" s="592"/>
      <c r="E33" s="592"/>
      <c r="F33" s="592"/>
      <c r="G33" s="592"/>
      <c r="H33" s="592"/>
      <c r="I33" s="592"/>
      <c r="J33" s="592"/>
      <c r="K33" s="592"/>
    </row>
  </sheetData>
  <mergeCells count="10">
    <mergeCell ref="S3:T3"/>
    <mergeCell ref="D4:K4"/>
    <mergeCell ref="S4:T4"/>
    <mergeCell ref="E5:F5"/>
    <mergeCell ref="E6:F6"/>
    <mergeCell ref="E9:K11"/>
    <mergeCell ref="C1:F1"/>
    <mergeCell ref="H2:I2"/>
    <mergeCell ref="C3:F3"/>
    <mergeCell ref="H3:I3"/>
  </mergeCells>
  <conditionalFormatting sqref="E9">
    <cfRule type="containsBlanks" dxfId="0" priority="1">
      <formula>LEN(TRIM(E9))=0</formula>
    </cfRule>
  </conditionalFormatting>
  <pageMargins left="0.7" right="0.7" top="0.75" bottom="0.75" header="0.3" footer="0.3"/>
  <pageSetup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5</xdr:col>
                    <xdr:colOff>657225</xdr:colOff>
                    <xdr:row>14</xdr:row>
                    <xdr:rowOff>104775</xdr:rowOff>
                  </from>
                  <to>
                    <xdr:col>6</xdr:col>
                    <xdr:colOff>257175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5</xdr:col>
                    <xdr:colOff>657225</xdr:colOff>
                    <xdr:row>15</xdr:row>
                    <xdr:rowOff>85725</xdr:rowOff>
                  </from>
                  <to>
                    <xdr:col>7</xdr:col>
                    <xdr:colOff>257175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5</xdr:col>
                    <xdr:colOff>638175</xdr:colOff>
                    <xdr:row>18</xdr:row>
                    <xdr:rowOff>123825</xdr:rowOff>
                  </from>
                  <to>
                    <xdr:col>6</xdr:col>
                    <xdr:colOff>228600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5</xdr:col>
                    <xdr:colOff>638175</xdr:colOff>
                    <xdr:row>19</xdr:row>
                    <xdr:rowOff>142875</xdr:rowOff>
                  </from>
                  <to>
                    <xdr:col>9</xdr:col>
                    <xdr:colOff>123825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5</xdr:col>
                    <xdr:colOff>647700</xdr:colOff>
                    <xdr:row>23</xdr:row>
                    <xdr:rowOff>85725</xdr:rowOff>
                  </from>
                  <to>
                    <xdr:col>7</xdr:col>
                    <xdr:colOff>85725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5</xdr:col>
                    <xdr:colOff>647700</xdr:colOff>
                    <xdr:row>24</xdr:row>
                    <xdr:rowOff>76200</xdr:rowOff>
                  </from>
                  <to>
                    <xdr:col>7</xdr:col>
                    <xdr:colOff>542925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5</xdr:col>
                    <xdr:colOff>647700</xdr:colOff>
                    <xdr:row>25</xdr:row>
                    <xdr:rowOff>85725</xdr:rowOff>
                  </from>
                  <to>
                    <xdr:col>7</xdr:col>
                    <xdr:colOff>276225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5</xdr:col>
                    <xdr:colOff>695325</xdr:colOff>
                    <xdr:row>28</xdr:row>
                    <xdr:rowOff>152400</xdr:rowOff>
                  </from>
                  <to>
                    <xdr:col>6</xdr:col>
                    <xdr:colOff>561975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5</xdr:col>
                    <xdr:colOff>695325</xdr:colOff>
                    <xdr:row>29</xdr:row>
                    <xdr:rowOff>133350</xdr:rowOff>
                  </from>
                  <to>
                    <xdr:col>7</xdr:col>
                    <xdr:colOff>66675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5</xdr:col>
                    <xdr:colOff>695325</xdr:colOff>
                    <xdr:row>30</xdr:row>
                    <xdr:rowOff>161925</xdr:rowOff>
                  </from>
                  <to>
                    <xdr:col>7</xdr:col>
                    <xdr:colOff>352425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4</xdr:col>
                    <xdr:colOff>409575</xdr:colOff>
                    <xdr:row>13</xdr:row>
                    <xdr:rowOff>104775</xdr:rowOff>
                  </from>
                  <to>
                    <xdr:col>5</xdr:col>
                    <xdr:colOff>542925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4</xdr:col>
                    <xdr:colOff>390525</xdr:colOff>
                    <xdr:row>17</xdr:row>
                    <xdr:rowOff>161925</xdr:rowOff>
                  </from>
                  <to>
                    <xdr:col>7</xdr:col>
                    <xdr:colOff>304800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4</xdr:col>
                    <xdr:colOff>390525</xdr:colOff>
                    <xdr:row>21</xdr:row>
                    <xdr:rowOff>180975</xdr:rowOff>
                  </from>
                  <to>
                    <xdr:col>6</xdr:col>
                    <xdr:colOff>428625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4</xdr:col>
                    <xdr:colOff>390525</xdr:colOff>
                    <xdr:row>26</xdr:row>
                    <xdr:rowOff>133350</xdr:rowOff>
                  </from>
                  <to>
                    <xdr:col>7</xdr:col>
                    <xdr:colOff>85725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</sheetPr>
  <dimension ref="B1:H26"/>
  <sheetViews>
    <sheetView zoomScale="115" zoomScaleNormal="115" workbookViewId="0">
      <selection activeCell="C20" sqref="C20"/>
    </sheetView>
  </sheetViews>
  <sheetFormatPr defaultRowHeight="15" x14ac:dyDescent="0.25"/>
  <cols>
    <col min="2" max="2" width="9.140625" style="119"/>
    <col min="3" max="3" width="85.5703125" style="119" bestFit="1" customWidth="1"/>
    <col min="4" max="4" width="12.5703125" style="191" bestFit="1" customWidth="1"/>
    <col min="5" max="5" width="37.140625" style="119" bestFit="1" customWidth="1"/>
    <col min="6" max="8" width="9.140625" style="119"/>
  </cols>
  <sheetData>
    <row r="1" spans="2:5" ht="15.75" thickBot="1" x14ac:dyDescent="0.3"/>
    <row r="2" spans="2:5" ht="15.75" x14ac:dyDescent="0.25">
      <c r="B2" s="192" t="s">
        <v>200</v>
      </c>
      <c r="C2" s="193"/>
      <c r="D2" s="194"/>
      <c r="E2" s="195"/>
    </row>
    <row r="3" spans="2:5" x14ac:dyDescent="0.25">
      <c r="B3" s="196" t="s">
        <v>625</v>
      </c>
      <c r="C3" s="197"/>
      <c r="D3" s="198"/>
      <c r="E3" s="199"/>
    </row>
    <row r="4" spans="2:5" x14ac:dyDescent="0.25">
      <c r="B4" s="200"/>
      <c r="C4" s="197"/>
      <c r="D4" s="198"/>
      <c r="E4" s="199"/>
    </row>
    <row r="5" spans="2:5" x14ac:dyDescent="0.25">
      <c r="B5" s="201" t="s">
        <v>34</v>
      </c>
      <c r="C5" s="197"/>
      <c r="D5" s="198"/>
      <c r="E5" s="199"/>
    </row>
    <row r="6" spans="2:5" x14ac:dyDescent="0.25">
      <c r="B6" s="202"/>
      <c r="C6" s="197" t="s">
        <v>448</v>
      </c>
      <c r="D6" s="203">
        <v>0.315</v>
      </c>
      <c r="E6" s="199" t="s">
        <v>693</v>
      </c>
    </row>
    <row r="7" spans="2:5" x14ac:dyDescent="0.25">
      <c r="B7" s="202"/>
      <c r="C7" s="197" t="s">
        <v>449</v>
      </c>
      <c r="D7" s="203">
        <v>0.315</v>
      </c>
      <c r="E7" s="199" t="s">
        <v>693</v>
      </c>
    </row>
    <row r="8" spans="2:5" x14ac:dyDescent="0.25">
      <c r="B8" s="202"/>
      <c r="C8" s="197" t="s">
        <v>286</v>
      </c>
      <c r="D8" s="203">
        <v>0.307</v>
      </c>
      <c r="E8" s="199" t="s">
        <v>693</v>
      </c>
    </row>
    <row r="9" spans="2:5" x14ac:dyDescent="0.25">
      <c r="B9" s="202"/>
      <c r="C9" s="204" t="s">
        <v>497</v>
      </c>
      <c r="D9" s="203">
        <f>0.086+0.03</f>
        <v>0.11599999999999999</v>
      </c>
      <c r="E9" s="199" t="s">
        <v>693</v>
      </c>
    </row>
    <row r="10" spans="2:5" x14ac:dyDescent="0.25">
      <c r="B10" s="202"/>
      <c r="C10" s="204" t="s">
        <v>496</v>
      </c>
      <c r="D10" s="203">
        <v>1.2E-2</v>
      </c>
      <c r="E10" s="199" t="s">
        <v>693</v>
      </c>
    </row>
    <row r="11" spans="2:5" x14ac:dyDescent="0.25">
      <c r="B11" s="202"/>
      <c r="C11" s="197" t="s">
        <v>197</v>
      </c>
      <c r="D11" s="203">
        <v>0.68500000000000005</v>
      </c>
      <c r="E11" s="199" t="s">
        <v>693</v>
      </c>
    </row>
    <row r="12" spans="2:5" x14ac:dyDescent="0.25">
      <c r="B12" s="202"/>
      <c r="C12" s="197" t="s">
        <v>285</v>
      </c>
      <c r="D12" s="203">
        <v>0.66100000000000003</v>
      </c>
      <c r="E12" s="199" t="s">
        <v>693</v>
      </c>
    </row>
    <row r="13" spans="2:5" x14ac:dyDescent="0.25">
      <c r="B13" s="202"/>
      <c r="C13" s="197" t="s">
        <v>450</v>
      </c>
      <c r="D13" s="203">
        <v>0.02</v>
      </c>
      <c r="E13" s="199" t="s">
        <v>693</v>
      </c>
    </row>
    <row r="14" spans="2:5" x14ac:dyDescent="0.25">
      <c r="B14" s="202"/>
      <c r="C14" s="197" t="s">
        <v>451</v>
      </c>
      <c r="D14" s="203">
        <v>0.02</v>
      </c>
      <c r="E14" s="199" t="s">
        <v>693</v>
      </c>
    </row>
    <row r="15" spans="2:5" x14ac:dyDescent="0.25">
      <c r="B15" s="202"/>
      <c r="C15" s="197" t="s">
        <v>198</v>
      </c>
      <c r="D15" s="203">
        <v>0.02</v>
      </c>
      <c r="E15" s="199" t="s">
        <v>693</v>
      </c>
    </row>
    <row r="16" spans="2:5" x14ac:dyDescent="0.25">
      <c r="B16" s="201" t="s">
        <v>1</v>
      </c>
      <c r="C16" s="197"/>
      <c r="D16" s="203"/>
      <c r="E16" s="199"/>
    </row>
    <row r="17" spans="2:5" x14ac:dyDescent="0.25">
      <c r="B17" s="202"/>
      <c r="C17" s="197" t="s">
        <v>199</v>
      </c>
      <c r="D17" s="205">
        <v>1.5</v>
      </c>
      <c r="E17" s="199" t="s">
        <v>202</v>
      </c>
    </row>
    <row r="18" spans="2:5" ht="16.5" x14ac:dyDescent="0.25">
      <c r="B18" s="202"/>
      <c r="C18" s="197" t="s">
        <v>598</v>
      </c>
      <c r="D18" s="206">
        <v>330000</v>
      </c>
      <c r="E18" s="199" t="s">
        <v>624</v>
      </c>
    </row>
    <row r="19" spans="2:5" x14ac:dyDescent="0.25">
      <c r="B19" s="202"/>
      <c r="C19" s="197"/>
      <c r="D19" s="198"/>
      <c r="E19" s="199"/>
    </row>
    <row r="20" spans="2:5" x14ac:dyDescent="0.25">
      <c r="B20" s="201" t="s">
        <v>428</v>
      </c>
      <c r="C20" s="197"/>
      <c r="D20" s="198"/>
      <c r="E20" s="199"/>
    </row>
    <row r="21" spans="2:5" x14ac:dyDescent="0.25">
      <c r="B21" s="202"/>
      <c r="C21" s="204" t="s">
        <v>423</v>
      </c>
      <c r="D21" s="206">
        <v>212100</v>
      </c>
      <c r="E21" s="199" t="s">
        <v>498</v>
      </c>
    </row>
    <row r="22" spans="2:5" x14ac:dyDescent="0.25">
      <c r="B22" s="202"/>
      <c r="C22" s="204"/>
      <c r="D22" s="206"/>
      <c r="E22" s="199"/>
    </row>
    <row r="23" spans="2:5" x14ac:dyDescent="0.25">
      <c r="B23" s="202"/>
      <c r="C23" s="207" t="s">
        <v>429</v>
      </c>
      <c r="D23" s="206"/>
      <c r="E23" s="199"/>
    </row>
    <row r="24" spans="2:5" x14ac:dyDescent="0.25">
      <c r="B24" s="202"/>
      <c r="C24" s="596" t="s">
        <v>694</v>
      </c>
      <c r="D24" s="203"/>
      <c r="E24" s="199"/>
    </row>
    <row r="25" spans="2:5" x14ac:dyDescent="0.25">
      <c r="B25" s="202"/>
      <c r="C25" s="596"/>
      <c r="D25" s="203"/>
      <c r="E25" s="199"/>
    </row>
    <row r="26" spans="2:5" ht="15.75" thickBot="1" x14ac:dyDescent="0.3">
      <c r="B26" s="208" t="s">
        <v>452</v>
      </c>
      <c r="C26" s="209"/>
      <c r="D26" s="210"/>
      <c r="E26" s="211"/>
    </row>
  </sheetData>
  <hyperlinks>
    <hyperlink ref="C24" r:id="rId1" xr:uid="{45AFE153-D5B6-4210-9DA7-77171496E9BA}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499984740745262"/>
  </sheetPr>
  <dimension ref="B2:H15"/>
  <sheetViews>
    <sheetView zoomScale="115" zoomScaleNormal="115" workbookViewId="0">
      <selection activeCell="G4" sqref="G4"/>
    </sheetView>
  </sheetViews>
  <sheetFormatPr defaultRowHeight="15" x14ac:dyDescent="0.25"/>
  <cols>
    <col min="1" max="1" width="4.42578125" customWidth="1"/>
    <col min="3" max="3" width="33.42578125" style="103" bestFit="1" customWidth="1"/>
    <col min="4" max="4" width="13.85546875" style="558" customWidth="1"/>
    <col min="5" max="7" width="15.7109375" style="558" customWidth="1"/>
    <col min="8" max="8" width="12.5703125" style="103" bestFit="1" customWidth="1"/>
  </cols>
  <sheetData>
    <row r="2" spans="2:8" ht="15.75" x14ac:dyDescent="0.25">
      <c r="C2" s="245"/>
      <c r="D2" s="525"/>
      <c r="E2" s="525"/>
      <c r="F2" s="525"/>
      <c r="G2" s="526" t="s">
        <v>516</v>
      </c>
    </row>
    <row r="3" spans="2:8" ht="15.75" x14ac:dyDescent="0.25">
      <c r="C3" s="245"/>
      <c r="D3" s="525"/>
      <c r="E3" s="525"/>
      <c r="F3" s="525"/>
      <c r="G3" s="526" t="s">
        <v>515</v>
      </c>
    </row>
    <row r="4" spans="2:8" s="70" customFormat="1" ht="15.75" x14ac:dyDescent="0.25">
      <c r="C4" s="629" t="s">
        <v>419</v>
      </c>
      <c r="D4" s="629"/>
      <c r="E4" s="629"/>
      <c r="F4" s="527"/>
      <c r="G4" s="528" t="s">
        <v>290</v>
      </c>
      <c r="H4" s="529"/>
    </row>
    <row r="5" spans="2:8" s="70" customFormat="1" ht="15.75" x14ac:dyDescent="0.25">
      <c r="B5" s="69"/>
      <c r="C5" s="527"/>
      <c r="D5" s="530"/>
      <c r="E5" s="530"/>
      <c r="F5" s="530"/>
      <c r="G5" s="530"/>
      <c r="H5" s="529"/>
    </row>
    <row r="6" spans="2:8" ht="15.75" x14ac:dyDescent="0.25">
      <c r="C6" s="245"/>
      <c r="D6" s="526" t="s">
        <v>416</v>
      </c>
      <c r="E6" s="531" t="s">
        <v>519</v>
      </c>
      <c r="F6" s="532" t="s">
        <v>24</v>
      </c>
      <c r="G6" s="531" t="s">
        <v>25</v>
      </c>
    </row>
    <row r="7" spans="2:8" ht="15.75" x14ac:dyDescent="0.25">
      <c r="C7" s="533" t="s">
        <v>415</v>
      </c>
      <c r="D7" s="533"/>
      <c r="E7" s="534">
        <v>0</v>
      </c>
      <c r="F7" s="535">
        <v>0</v>
      </c>
      <c r="G7" s="534">
        <v>0</v>
      </c>
    </row>
    <row r="8" spans="2:8" ht="15.75" x14ac:dyDescent="0.25">
      <c r="C8" s="533" t="s">
        <v>417</v>
      </c>
      <c r="D8" s="536">
        <v>0</v>
      </c>
      <c r="E8" s="537">
        <f>IF(G4="Yes",$E$7/(1-$D$8)-$E$7,$D$8*$E$7)</f>
        <v>0</v>
      </c>
      <c r="F8" s="538">
        <f>IF($G$4="Yes",$F$7/(1-$D$8)-$F$7,$D$8*$F$7)</f>
        <v>0</v>
      </c>
      <c r="G8" s="537">
        <f>IF($G$4="Yes",$G$7/(1-$D$8)-$G$7,$D$8*$G$7)</f>
        <v>0</v>
      </c>
    </row>
    <row r="9" spans="2:8" ht="15.75" x14ac:dyDescent="0.25">
      <c r="C9" s="539" t="s">
        <v>517</v>
      </c>
      <c r="D9" s="540"/>
      <c r="E9" s="541">
        <f>E8+E7</f>
        <v>0</v>
      </c>
      <c r="F9" s="542">
        <f>F8+F7</f>
        <v>0</v>
      </c>
      <c r="G9" s="541">
        <f>G8+G7</f>
        <v>0</v>
      </c>
    </row>
    <row r="10" spans="2:8" ht="15.75" x14ac:dyDescent="0.25">
      <c r="C10" s="533" t="s">
        <v>629</v>
      </c>
      <c r="D10" s="543">
        <v>0.11700000000000001</v>
      </c>
      <c r="E10" s="544">
        <f>E9/(1-D10)-$E$9</f>
        <v>0</v>
      </c>
      <c r="F10" s="545">
        <f>F9/(1-D10)-$F$9</f>
        <v>0</v>
      </c>
      <c r="G10" s="544">
        <f>G9/(1-D10)-$G$9</f>
        <v>0</v>
      </c>
      <c r="H10" s="103" t="s">
        <v>647</v>
      </c>
    </row>
    <row r="11" spans="2:8" ht="15.75" x14ac:dyDescent="0.25">
      <c r="C11" s="546" t="s">
        <v>518</v>
      </c>
      <c r="D11" s="547"/>
      <c r="E11" s="548">
        <f>E10+E9</f>
        <v>0</v>
      </c>
      <c r="F11" s="549">
        <f>F10+F9</f>
        <v>0</v>
      </c>
      <c r="G11" s="548">
        <f>G10+G9</f>
        <v>0</v>
      </c>
    </row>
    <row r="12" spans="2:8" ht="15.75" x14ac:dyDescent="0.25">
      <c r="C12" s="550" t="s">
        <v>418</v>
      </c>
      <c r="D12" s="551"/>
      <c r="E12" s="552">
        <f>E8+E10</f>
        <v>0</v>
      </c>
      <c r="F12" s="553">
        <f t="shared" ref="F12:G12" si="0">F8+F10</f>
        <v>0</v>
      </c>
      <c r="G12" s="552">
        <f t="shared" si="0"/>
        <v>0</v>
      </c>
    </row>
    <row r="13" spans="2:8" ht="15.75" x14ac:dyDescent="0.25">
      <c r="C13" s="554" t="s">
        <v>420</v>
      </c>
      <c r="D13" s="555"/>
      <c r="E13" s="556">
        <f>IFERROR(E12/E11,0)</f>
        <v>0</v>
      </c>
      <c r="F13" s="557">
        <f>IFERROR(F12/F11,0)</f>
        <v>0</v>
      </c>
      <c r="G13" s="556">
        <f>IFERROR(G12/G11,0)</f>
        <v>0</v>
      </c>
    </row>
    <row r="15" spans="2:8" x14ac:dyDescent="0.25">
      <c r="E15" s="559"/>
      <c r="F15" s="559"/>
      <c r="G15" s="559"/>
    </row>
  </sheetData>
  <sheetProtection algorithmName="SHA-512" hashValue="288OoS2yLSrSLexTMCZ5KtL452Zije+ZX12FaDrZW1bXSU3rmRJZBps+HfJ3K8UejY7KTYVmqfzXaWot+GQtaQ==" saltValue="xqfRO7drCpfjT7x3godB2A==" spinCount="100000" sheet="1" objects="1" scenarios="1"/>
  <mergeCells count="1">
    <mergeCell ref="C4:E4"/>
  </mergeCells>
  <dataValidations count="1">
    <dataValidation type="list" allowBlank="1" showInputMessage="1" showErrorMessage="1" sqref="G4" xr:uid="{258F06E4-6A1E-44C1-91E2-719A87FA3289}">
      <formula1>yesyes</formula1>
    </dataValidation>
  </dataValidations>
  <printOptions horizontalCentered="1"/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499984740745262"/>
    <pageSetUpPr fitToPage="1"/>
  </sheetPr>
  <dimension ref="B4:V30"/>
  <sheetViews>
    <sheetView workbookViewId="0">
      <selection activeCell="D8" sqref="D8"/>
    </sheetView>
  </sheetViews>
  <sheetFormatPr defaultRowHeight="15" x14ac:dyDescent="0.25"/>
  <cols>
    <col min="2" max="2" width="9.140625" style="103"/>
    <col min="3" max="3" width="11" style="103" bestFit="1" customWidth="1"/>
    <col min="4" max="4" width="12.5703125" style="103" bestFit="1" customWidth="1"/>
    <col min="5" max="7" width="9.140625" style="103"/>
    <col min="8" max="8" width="10.7109375" style="103" customWidth="1"/>
    <col min="9" max="14" width="9.140625" style="103"/>
    <col min="15" max="22" width="9.140625" style="119"/>
  </cols>
  <sheetData>
    <row r="4" spans="2:9" ht="15.75" x14ac:dyDescent="0.25">
      <c r="B4" s="560" t="s">
        <v>251</v>
      </c>
    </row>
    <row r="5" spans="2:9" ht="15.75" thickBot="1" x14ac:dyDescent="0.3"/>
    <row r="6" spans="2:9" x14ac:dyDescent="0.25">
      <c r="B6" s="561" t="s">
        <v>245</v>
      </c>
      <c r="C6" s="562"/>
      <c r="D6" s="563"/>
      <c r="G6" s="103" t="s">
        <v>386</v>
      </c>
    </row>
    <row r="7" spans="2:9" x14ac:dyDescent="0.25">
      <c r="B7" s="564"/>
      <c r="C7" s="565"/>
      <c r="D7" s="566"/>
    </row>
    <row r="8" spans="2:9" x14ac:dyDescent="0.25">
      <c r="B8" s="564"/>
      <c r="C8" s="565" t="s">
        <v>241</v>
      </c>
      <c r="D8" s="567">
        <v>0</v>
      </c>
      <c r="G8" s="630" t="s">
        <v>249</v>
      </c>
      <c r="H8" s="631"/>
      <c r="I8" s="568" t="s">
        <v>246</v>
      </c>
    </row>
    <row r="9" spans="2:9" x14ac:dyDescent="0.25">
      <c r="B9" s="564"/>
      <c r="C9" s="565" t="s">
        <v>242</v>
      </c>
      <c r="D9" s="569">
        <v>4.2500000000000003E-2</v>
      </c>
      <c r="G9" s="570" t="s">
        <v>245</v>
      </c>
      <c r="H9" s="565"/>
      <c r="I9" s="571">
        <v>40</v>
      </c>
    </row>
    <row r="10" spans="2:9" x14ac:dyDescent="0.25">
      <c r="B10" s="564"/>
      <c r="C10" s="565" t="s">
        <v>243</v>
      </c>
      <c r="D10" s="566">
        <v>40</v>
      </c>
      <c r="G10" s="570" t="s">
        <v>247</v>
      </c>
      <c r="H10" s="565"/>
      <c r="I10" s="571" t="s">
        <v>248</v>
      </c>
    </row>
    <row r="11" spans="2:9" x14ac:dyDescent="0.25">
      <c r="B11" s="564"/>
      <c r="C11" s="565"/>
      <c r="D11" s="566"/>
      <c r="G11" s="572" t="s">
        <v>250</v>
      </c>
      <c r="H11" s="573"/>
      <c r="I11" s="574">
        <v>10</v>
      </c>
    </row>
    <row r="12" spans="2:9" ht="15.75" thickBot="1" x14ac:dyDescent="0.3">
      <c r="B12" s="575"/>
      <c r="C12" s="576" t="s">
        <v>244</v>
      </c>
      <c r="D12" s="577">
        <f>PMT(D9/12,D10*12,D8)*-12</f>
        <v>0</v>
      </c>
    </row>
    <row r="14" spans="2:9" ht="15.75" thickBot="1" x14ac:dyDescent="0.3"/>
    <row r="15" spans="2:9" x14ac:dyDescent="0.25">
      <c r="B15" s="561" t="s">
        <v>247</v>
      </c>
      <c r="C15" s="562"/>
      <c r="D15" s="563"/>
    </row>
    <row r="16" spans="2:9" x14ac:dyDescent="0.25">
      <c r="B16" s="564"/>
      <c r="C16" s="565"/>
      <c r="D16" s="566"/>
    </row>
    <row r="17" spans="2:4" x14ac:dyDescent="0.25">
      <c r="B17" s="564"/>
      <c r="C17" s="565" t="s">
        <v>241</v>
      </c>
      <c r="D17" s="567">
        <v>0</v>
      </c>
    </row>
    <row r="18" spans="2:4" x14ac:dyDescent="0.25">
      <c r="B18" s="564"/>
      <c r="C18" s="565" t="s">
        <v>242</v>
      </c>
      <c r="D18" s="569">
        <v>4.2500000000000003E-2</v>
      </c>
    </row>
    <row r="19" spans="2:4" x14ac:dyDescent="0.25">
      <c r="B19" s="564"/>
      <c r="C19" s="565" t="s">
        <v>243</v>
      </c>
      <c r="D19" s="566">
        <v>20</v>
      </c>
    </row>
    <row r="20" spans="2:4" x14ac:dyDescent="0.25">
      <c r="B20" s="564"/>
      <c r="C20" s="565"/>
      <c r="D20" s="566"/>
    </row>
    <row r="21" spans="2:4" ht="15.75" thickBot="1" x14ac:dyDescent="0.3">
      <c r="B21" s="575"/>
      <c r="C21" s="576" t="s">
        <v>244</v>
      </c>
      <c r="D21" s="577">
        <f>PMT(D18/12,D19*12,D17)*-12</f>
        <v>0</v>
      </c>
    </row>
    <row r="22" spans="2:4" x14ac:dyDescent="0.25">
      <c r="B22" s="565"/>
      <c r="C22" s="565"/>
      <c r="D22" s="578"/>
    </row>
    <row r="23" spans="2:4" ht="15.75" thickBot="1" x14ac:dyDescent="0.3"/>
    <row r="24" spans="2:4" x14ac:dyDescent="0.25">
      <c r="B24" s="561" t="s">
        <v>250</v>
      </c>
      <c r="C24" s="562"/>
      <c r="D24" s="563"/>
    </row>
    <row r="25" spans="2:4" x14ac:dyDescent="0.25">
      <c r="B25" s="564"/>
      <c r="C25" s="565"/>
      <c r="D25" s="566"/>
    </row>
    <row r="26" spans="2:4" x14ac:dyDescent="0.25">
      <c r="B26" s="564"/>
      <c r="C26" s="565" t="s">
        <v>241</v>
      </c>
      <c r="D26" s="567">
        <v>0</v>
      </c>
    </row>
    <row r="27" spans="2:4" x14ac:dyDescent="0.25">
      <c r="B27" s="564"/>
      <c r="C27" s="565" t="s">
        <v>242</v>
      </c>
      <c r="D27" s="569">
        <v>4.2500000000000003E-2</v>
      </c>
    </row>
    <row r="28" spans="2:4" x14ac:dyDescent="0.25">
      <c r="B28" s="564"/>
      <c r="C28" s="565" t="s">
        <v>243</v>
      </c>
      <c r="D28" s="566">
        <v>10</v>
      </c>
    </row>
    <row r="29" spans="2:4" x14ac:dyDescent="0.25">
      <c r="B29" s="564"/>
      <c r="C29" s="565"/>
      <c r="D29" s="566"/>
    </row>
    <row r="30" spans="2:4" ht="15.75" thickBot="1" x14ac:dyDescent="0.3">
      <c r="B30" s="575"/>
      <c r="C30" s="576" t="s">
        <v>244</v>
      </c>
      <c r="D30" s="577">
        <f>PMT(D27/12,D28*12,D26)*-12</f>
        <v>0</v>
      </c>
    </row>
  </sheetData>
  <mergeCells count="1">
    <mergeCell ref="G8:H8"/>
  </mergeCells>
  <pageMargins left="0.7" right="0.7" top="0.75" bottom="0.75" header="0.3" footer="0.3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59999389629810485"/>
    <pageSetUpPr fitToPage="1"/>
  </sheetPr>
  <dimension ref="B1:C39"/>
  <sheetViews>
    <sheetView topLeftCell="A9" workbookViewId="0">
      <selection activeCell="C40" sqref="C40"/>
    </sheetView>
  </sheetViews>
  <sheetFormatPr defaultColWidth="8.85546875" defaultRowHeight="15" x14ac:dyDescent="0.25"/>
  <cols>
    <col min="1" max="1" width="8.85546875" style="1"/>
    <col min="2" max="2" width="42.7109375" style="118" bestFit="1" customWidth="1"/>
    <col min="3" max="3" width="144.85546875" style="118" bestFit="1" customWidth="1"/>
    <col min="4" max="16384" width="8.85546875" style="1"/>
  </cols>
  <sheetData>
    <row r="1" spans="2:3" ht="15.75" thickBot="1" x14ac:dyDescent="0.3"/>
    <row r="2" spans="2:3" ht="15.75" thickBot="1" x14ac:dyDescent="0.3">
      <c r="B2" s="212" t="s">
        <v>61</v>
      </c>
    </row>
    <row r="3" spans="2:3" ht="15.75" thickBot="1" x14ac:dyDescent="0.3"/>
    <row r="4" spans="2:3" ht="15.75" thickBot="1" x14ac:dyDescent="0.3">
      <c r="B4" s="213" t="s">
        <v>62</v>
      </c>
      <c r="C4" s="214" t="s">
        <v>63</v>
      </c>
    </row>
    <row r="5" spans="2:3" s="47" customFormat="1" x14ac:dyDescent="0.25">
      <c r="B5" s="215"/>
      <c r="C5" s="215"/>
    </row>
    <row r="6" spans="2:3" x14ac:dyDescent="0.25">
      <c r="B6" s="216" t="s">
        <v>176</v>
      </c>
    </row>
    <row r="7" spans="2:3" x14ac:dyDescent="0.25">
      <c r="B7" s="118" t="s">
        <v>637</v>
      </c>
      <c r="C7" s="118" t="s">
        <v>175</v>
      </c>
    </row>
    <row r="8" spans="2:3" x14ac:dyDescent="0.25">
      <c r="B8" s="118" t="s">
        <v>638</v>
      </c>
      <c r="C8" s="118" t="s">
        <v>651</v>
      </c>
    </row>
    <row r="9" spans="2:3" x14ac:dyDescent="0.25">
      <c r="B9" s="118" t="s">
        <v>650</v>
      </c>
      <c r="C9" s="118" t="s">
        <v>652</v>
      </c>
    </row>
    <row r="10" spans="2:3" x14ac:dyDescent="0.25">
      <c r="B10" s="118" t="s">
        <v>78</v>
      </c>
      <c r="C10" s="118" t="s">
        <v>653</v>
      </c>
    </row>
    <row r="12" spans="2:3" x14ac:dyDescent="0.25">
      <c r="B12" s="216" t="s">
        <v>158</v>
      </c>
    </row>
    <row r="13" spans="2:3" x14ac:dyDescent="0.25">
      <c r="B13" s="118" t="s">
        <v>136</v>
      </c>
      <c r="C13" s="118" t="s">
        <v>179</v>
      </c>
    </row>
    <row r="14" spans="2:3" x14ac:dyDescent="0.25">
      <c r="B14" s="118" t="s">
        <v>137</v>
      </c>
      <c r="C14" s="118" t="s">
        <v>180</v>
      </c>
    </row>
    <row r="15" spans="2:3" x14ac:dyDescent="0.25">
      <c r="B15" s="118" t="s">
        <v>138</v>
      </c>
      <c r="C15" s="118" t="s">
        <v>181</v>
      </c>
    </row>
    <row r="16" spans="2:3" x14ac:dyDescent="0.25">
      <c r="B16" s="118" t="s">
        <v>177</v>
      </c>
      <c r="C16" s="118" t="s">
        <v>182</v>
      </c>
    </row>
    <row r="17" spans="2:3" x14ac:dyDescent="0.25">
      <c r="B17" s="118" t="s">
        <v>140</v>
      </c>
      <c r="C17" s="118" t="s">
        <v>178</v>
      </c>
    </row>
    <row r="18" spans="2:3" x14ac:dyDescent="0.25">
      <c r="B18" s="119" t="s">
        <v>259</v>
      </c>
      <c r="C18" s="118" t="s">
        <v>265</v>
      </c>
    </row>
    <row r="19" spans="2:3" x14ac:dyDescent="0.25">
      <c r="B19" s="119" t="s">
        <v>261</v>
      </c>
      <c r="C19" s="118" t="s">
        <v>264</v>
      </c>
    </row>
    <row r="20" spans="2:3" x14ac:dyDescent="0.25">
      <c r="B20" s="119" t="s">
        <v>260</v>
      </c>
      <c r="C20" s="118" t="s">
        <v>266</v>
      </c>
    </row>
    <row r="21" spans="2:3" x14ac:dyDescent="0.25">
      <c r="B21" s="119" t="s">
        <v>262</v>
      </c>
      <c r="C21" s="118" t="s">
        <v>268</v>
      </c>
    </row>
    <row r="22" spans="2:3" x14ac:dyDescent="0.25">
      <c r="B22" s="119" t="s">
        <v>263</v>
      </c>
      <c r="C22" s="118" t="s">
        <v>267</v>
      </c>
    </row>
    <row r="24" spans="2:3" x14ac:dyDescent="0.25">
      <c r="B24" s="118" t="s">
        <v>183</v>
      </c>
      <c r="C24" s="118" t="s">
        <v>697</v>
      </c>
    </row>
    <row r="25" spans="2:3" x14ac:dyDescent="0.25">
      <c r="B25" s="118" t="s">
        <v>64</v>
      </c>
      <c r="C25" s="118" t="s">
        <v>184</v>
      </c>
    </row>
    <row r="26" spans="2:3" x14ac:dyDescent="0.25">
      <c r="B26" s="118" t="s">
        <v>154</v>
      </c>
      <c r="C26" s="118" t="s">
        <v>698</v>
      </c>
    </row>
    <row r="27" spans="2:3" x14ac:dyDescent="0.25">
      <c r="B27" s="118" t="s">
        <v>77</v>
      </c>
      <c r="C27" s="118" t="s">
        <v>185</v>
      </c>
    </row>
    <row r="29" spans="2:3" x14ac:dyDescent="0.25">
      <c r="B29" s="216" t="s">
        <v>153</v>
      </c>
    </row>
    <row r="30" spans="2:3" x14ac:dyDescent="0.25">
      <c r="B30" s="118" t="s">
        <v>145</v>
      </c>
      <c r="C30" s="118" t="s">
        <v>186</v>
      </c>
    </row>
    <row r="31" spans="2:3" x14ac:dyDescent="0.25">
      <c r="B31" s="118" t="s">
        <v>146</v>
      </c>
      <c r="C31" s="118" t="s">
        <v>187</v>
      </c>
    </row>
    <row r="32" spans="2:3" x14ac:dyDescent="0.25">
      <c r="B32" s="118" t="s">
        <v>72</v>
      </c>
      <c r="C32" s="118" t="s">
        <v>188</v>
      </c>
    </row>
    <row r="34" spans="2:3" x14ac:dyDescent="0.25">
      <c r="B34" s="216" t="s">
        <v>37</v>
      </c>
    </row>
    <row r="35" spans="2:3" x14ac:dyDescent="0.25">
      <c r="B35" s="118" t="s">
        <v>76</v>
      </c>
      <c r="C35" s="118" t="s">
        <v>189</v>
      </c>
    </row>
    <row r="36" spans="2:3" x14ac:dyDescent="0.25">
      <c r="B36" s="118" t="s">
        <v>143</v>
      </c>
      <c r="C36" s="118" t="s">
        <v>201</v>
      </c>
    </row>
    <row r="37" spans="2:3" x14ac:dyDescent="0.25">
      <c r="B37" s="118" t="s">
        <v>144</v>
      </c>
      <c r="C37" s="118" t="s">
        <v>190</v>
      </c>
    </row>
    <row r="38" spans="2:3" x14ac:dyDescent="0.25">
      <c r="B38" s="118" t="s">
        <v>148</v>
      </c>
      <c r="C38" s="118" t="s">
        <v>192</v>
      </c>
    </row>
    <row r="39" spans="2:3" x14ac:dyDescent="0.25">
      <c r="B39" s="118" t="s">
        <v>149</v>
      </c>
      <c r="C39" s="118" t="s">
        <v>191</v>
      </c>
    </row>
  </sheetData>
  <pageMargins left="0.7" right="0.7" top="0.75" bottom="0.7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59999389629810485"/>
    <pageSetUpPr fitToPage="1"/>
  </sheetPr>
  <dimension ref="B2:H99"/>
  <sheetViews>
    <sheetView topLeftCell="A73" workbookViewId="0">
      <selection activeCell="C100" sqref="C100"/>
    </sheetView>
  </sheetViews>
  <sheetFormatPr defaultRowHeight="15" x14ac:dyDescent="0.25"/>
  <cols>
    <col min="2" max="2" width="14.28515625" style="103" bestFit="1" customWidth="1"/>
    <col min="3" max="8" width="9.140625" style="103"/>
  </cols>
  <sheetData>
    <row r="2" spans="2:3" x14ac:dyDescent="0.25">
      <c r="B2" s="579" t="s">
        <v>240</v>
      </c>
    </row>
    <row r="4" spans="2:3" x14ac:dyDescent="0.25">
      <c r="B4" s="580">
        <v>1.1000000000000001</v>
      </c>
      <c r="C4" s="103" t="s">
        <v>222</v>
      </c>
    </row>
    <row r="5" spans="2:3" x14ac:dyDescent="0.25">
      <c r="B5" s="580"/>
    </row>
    <row r="6" spans="2:3" x14ac:dyDescent="0.25">
      <c r="B6" s="580">
        <v>1.2</v>
      </c>
      <c r="C6" s="103" t="s">
        <v>223</v>
      </c>
    </row>
    <row r="7" spans="2:3" x14ac:dyDescent="0.25">
      <c r="B7" s="580"/>
    </row>
    <row r="8" spans="2:3" x14ac:dyDescent="0.25">
      <c r="B8" s="580">
        <v>1.3</v>
      </c>
      <c r="C8" s="103" t="s">
        <v>257</v>
      </c>
    </row>
    <row r="10" spans="2:3" x14ac:dyDescent="0.25">
      <c r="C10" s="103" t="s">
        <v>224</v>
      </c>
    </row>
    <row r="12" spans="2:3" x14ac:dyDescent="0.25">
      <c r="C12" s="103" t="s">
        <v>225</v>
      </c>
    </row>
    <row r="13" spans="2:3" x14ac:dyDescent="0.25">
      <c r="C13" s="103" t="s">
        <v>227</v>
      </c>
    </row>
    <row r="14" spans="2:3" x14ac:dyDescent="0.25">
      <c r="C14" s="103" t="s">
        <v>226</v>
      </c>
    </row>
    <row r="16" spans="2:3" x14ac:dyDescent="0.25">
      <c r="C16" s="103" t="s">
        <v>239</v>
      </c>
    </row>
    <row r="18" spans="2:3" x14ac:dyDescent="0.25">
      <c r="C18" s="103" t="s">
        <v>269</v>
      </c>
    </row>
    <row r="19" spans="2:3" x14ac:dyDescent="0.25">
      <c r="C19" s="581" t="s">
        <v>270</v>
      </c>
    </row>
    <row r="21" spans="2:3" x14ac:dyDescent="0.25">
      <c r="B21" s="580">
        <v>2019.1</v>
      </c>
      <c r="C21" s="103" t="s">
        <v>283</v>
      </c>
    </row>
    <row r="23" spans="2:3" x14ac:dyDescent="0.25">
      <c r="C23" s="103" t="s">
        <v>284</v>
      </c>
    </row>
    <row r="25" spans="2:3" x14ac:dyDescent="0.25">
      <c r="C25" s="103" t="s">
        <v>291</v>
      </c>
    </row>
    <row r="27" spans="2:3" x14ac:dyDescent="0.25">
      <c r="B27" s="582" t="s">
        <v>387</v>
      </c>
      <c r="C27" s="103" t="s">
        <v>388</v>
      </c>
    </row>
    <row r="29" spans="2:3" x14ac:dyDescent="0.25">
      <c r="B29" s="582" t="s">
        <v>391</v>
      </c>
      <c r="C29" s="103" t="s">
        <v>392</v>
      </c>
    </row>
    <row r="31" spans="2:3" x14ac:dyDescent="0.25">
      <c r="C31" s="103" t="s">
        <v>397</v>
      </c>
    </row>
    <row r="33" spans="2:3" x14ac:dyDescent="0.25">
      <c r="C33" s="103" t="s">
        <v>396</v>
      </c>
    </row>
    <row r="35" spans="2:3" x14ac:dyDescent="0.25">
      <c r="B35" s="582" t="s">
        <v>398</v>
      </c>
      <c r="C35" s="103" t="s">
        <v>399</v>
      </c>
    </row>
    <row r="37" spans="2:3" x14ac:dyDescent="0.25">
      <c r="B37" s="582" t="s">
        <v>401</v>
      </c>
      <c r="C37" s="103" t="s">
        <v>402</v>
      </c>
    </row>
    <row r="39" spans="2:3" x14ac:dyDescent="0.25">
      <c r="C39" s="103" t="s">
        <v>403</v>
      </c>
    </row>
    <row r="41" spans="2:3" x14ac:dyDescent="0.25">
      <c r="B41" s="582" t="s">
        <v>404</v>
      </c>
      <c r="C41" s="103" t="s">
        <v>405</v>
      </c>
    </row>
    <row r="43" spans="2:3" x14ac:dyDescent="0.25">
      <c r="B43" s="582" t="s">
        <v>413</v>
      </c>
      <c r="C43" s="103" t="s">
        <v>414</v>
      </c>
    </row>
    <row r="44" spans="2:3" x14ac:dyDescent="0.25">
      <c r="C44" s="103" t="s">
        <v>421</v>
      </c>
    </row>
    <row r="46" spans="2:3" x14ac:dyDescent="0.25">
      <c r="B46" s="582" t="s">
        <v>479</v>
      </c>
      <c r="C46" s="103" t="s">
        <v>453</v>
      </c>
    </row>
    <row r="47" spans="2:3" x14ac:dyDescent="0.25">
      <c r="C47" s="103" t="s">
        <v>454</v>
      </c>
    </row>
    <row r="48" spans="2:3" x14ac:dyDescent="0.25">
      <c r="C48" s="103" t="s">
        <v>480</v>
      </c>
    </row>
    <row r="49" spans="2:3" x14ac:dyDescent="0.25">
      <c r="C49" s="103" t="s">
        <v>481</v>
      </c>
    </row>
    <row r="50" spans="2:3" x14ac:dyDescent="0.25">
      <c r="C50" s="103" t="s">
        <v>482</v>
      </c>
    </row>
    <row r="52" spans="2:3" x14ac:dyDescent="0.25">
      <c r="B52" s="582" t="s">
        <v>489</v>
      </c>
      <c r="C52" s="103" t="s">
        <v>485</v>
      </c>
    </row>
    <row r="53" spans="2:3" x14ac:dyDescent="0.25">
      <c r="C53" s="103" t="s">
        <v>486</v>
      </c>
    </row>
    <row r="54" spans="2:3" x14ac:dyDescent="0.25">
      <c r="C54" s="103" t="s">
        <v>487</v>
      </c>
    </row>
    <row r="55" spans="2:3" x14ac:dyDescent="0.25">
      <c r="C55" s="103" t="s">
        <v>488</v>
      </c>
    </row>
    <row r="57" spans="2:3" x14ac:dyDescent="0.25">
      <c r="B57" s="582" t="s">
        <v>490</v>
      </c>
      <c r="C57" s="103" t="s">
        <v>491</v>
      </c>
    </row>
    <row r="58" spans="2:3" x14ac:dyDescent="0.25">
      <c r="C58" s="103" t="s">
        <v>492</v>
      </c>
    </row>
    <row r="60" spans="2:3" x14ac:dyDescent="0.25">
      <c r="B60" s="582" t="s">
        <v>504</v>
      </c>
      <c r="C60" s="103" t="s">
        <v>499</v>
      </c>
    </row>
    <row r="61" spans="2:3" x14ac:dyDescent="0.25">
      <c r="C61" s="103" t="s">
        <v>500</v>
      </c>
    </row>
    <row r="62" spans="2:3" x14ac:dyDescent="0.25">
      <c r="C62" s="103" t="s">
        <v>501</v>
      </c>
    </row>
    <row r="63" spans="2:3" x14ac:dyDescent="0.25">
      <c r="C63" s="103" t="s">
        <v>502</v>
      </c>
    </row>
    <row r="64" spans="2:3" x14ac:dyDescent="0.25">
      <c r="C64" s="103" t="s">
        <v>227</v>
      </c>
    </row>
    <row r="65" spans="2:3" x14ac:dyDescent="0.25">
      <c r="B65" s="582" t="s">
        <v>506</v>
      </c>
      <c r="C65" s="103" t="s">
        <v>507</v>
      </c>
    </row>
    <row r="66" spans="2:3" x14ac:dyDescent="0.25">
      <c r="C66" s="103" t="s">
        <v>508</v>
      </c>
    </row>
    <row r="67" spans="2:3" x14ac:dyDescent="0.25">
      <c r="C67" s="103" t="s">
        <v>227</v>
      </c>
    </row>
    <row r="68" spans="2:3" x14ac:dyDescent="0.25">
      <c r="B68" s="582" t="s">
        <v>514</v>
      </c>
      <c r="C68" s="103" t="s">
        <v>509</v>
      </c>
    </row>
    <row r="69" spans="2:3" x14ac:dyDescent="0.25">
      <c r="C69" s="103" t="s">
        <v>510</v>
      </c>
    </row>
    <row r="70" spans="2:3" x14ac:dyDescent="0.25">
      <c r="C70" s="103" t="s">
        <v>511</v>
      </c>
    </row>
    <row r="71" spans="2:3" x14ac:dyDescent="0.25">
      <c r="C71" s="103" t="s">
        <v>512</v>
      </c>
    </row>
    <row r="72" spans="2:3" x14ac:dyDescent="0.25">
      <c r="C72" s="103" t="s">
        <v>513</v>
      </c>
    </row>
    <row r="74" spans="2:3" x14ac:dyDescent="0.25">
      <c r="B74" s="582" t="s">
        <v>521</v>
      </c>
      <c r="C74" s="103" t="s">
        <v>522</v>
      </c>
    </row>
    <row r="75" spans="2:3" x14ac:dyDescent="0.25">
      <c r="C75" s="103" t="s">
        <v>523</v>
      </c>
    </row>
    <row r="76" spans="2:3" x14ac:dyDescent="0.25">
      <c r="C76" s="103" t="s">
        <v>524</v>
      </c>
    </row>
    <row r="78" spans="2:3" x14ac:dyDescent="0.25">
      <c r="B78" s="582" t="s">
        <v>618</v>
      </c>
      <c r="C78" s="103" t="s">
        <v>630</v>
      </c>
    </row>
    <row r="79" spans="2:3" x14ac:dyDescent="0.25">
      <c r="C79" s="103" t="s">
        <v>631</v>
      </c>
    </row>
    <row r="80" spans="2:3" x14ac:dyDescent="0.25">
      <c r="C80" s="103" t="s">
        <v>632</v>
      </c>
    </row>
    <row r="81" spans="2:3" x14ac:dyDescent="0.25">
      <c r="C81" s="103" t="s">
        <v>633</v>
      </c>
    </row>
    <row r="82" spans="2:3" x14ac:dyDescent="0.25">
      <c r="C82" s="103" t="s">
        <v>634</v>
      </c>
    </row>
    <row r="84" spans="2:3" x14ac:dyDescent="0.25">
      <c r="B84" s="582" t="s">
        <v>642</v>
      </c>
      <c r="C84" s="103" t="s">
        <v>639</v>
      </c>
    </row>
    <row r="85" spans="2:3" x14ac:dyDescent="0.25">
      <c r="C85" s="103" t="s">
        <v>648</v>
      </c>
    </row>
    <row r="86" spans="2:3" x14ac:dyDescent="0.25">
      <c r="C86" s="103" t="s">
        <v>649</v>
      </c>
    </row>
    <row r="87" spans="2:3" x14ac:dyDescent="0.25">
      <c r="C87" s="103" t="s">
        <v>640</v>
      </c>
    </row>
    <row r="88" spans="2:3" x14ac:dyDescent="0.25">
      <c r="C88" s="103" t="s">
        <v>641</v>
      </c>
    </row>
    <row r="89" spans="2:3" x14ac:dyDescent="0.25">
      <c r="C89" s="103" t="s">
        <v>644</v>
      </c>
    </row>
    <row r="91" spans="2:3" x14ac:dyDescent="0.25">
      <c r="B91" s="582" t="s">
        <v>690</v>
      </c>
      <c r="C91" s="103" t="s">
        <v>661</v>
      </c>
    </row>
    <row r="92" spans="2:3" x14ac:dyDescent="0.25">
      <c r="C92" s="103" t="s">
        <v>660</v>
      </c>
    </row>
    <row r="93" spans="2:3" x14ac:dyDescent="0.25">
      <c r="C93" s="103" t="s">
        <v>663</v>
      </c>
    </row>
    <row r="94" spans="2:3" x14ac:dyDescent="0.25">
      <c r="C94" s="103" t="s">
        <v>683</v>
      </c>
    </row>
    <row r="95" spans="2:3" x14ac:dyDescent="0.25">
      <c r="C95" s="103" t="s">
        <v>688</v>
      </c>
    </row>
    <row r="97" spans="2:3" x14ac:dyDescent="0.25">
      <c r="B97" s="582" t="s">
        <v>691</v>
      </c>
      <c r="C97" s="103" t="s">
        <v>692</v>
      </c>
    </row>
    <row r="98" spans="2:3" x14ac:dyDescent="0.25">
      <c r="C98" s="103" t="s">
        <v>695</v>
      </c>
    </row>
    <row r="99" spans="2:3" x14ac:dyDescent="0.25">
      <c r="C99" s="103" t="s">
        <v>696</v>
      </c>
    </row>
  </sheetData>
  <pageMargins left="0.7" right="0.7" top="0.75" bottom="0.75" header="0.3" footer="0.3"/>
  <pageSetup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3:G16"/>
  <sheetViews>
    <sheetView workbookViewId="0">
      <selection activeCell="G7" sqref="G7"/>
    </sheetView>
  </sheetViews>
  <sheetFormatPr defaultRowHeight="15" x14ac:dyDescent="0.25"/>
  <cols>
    <col min="3" max="3" width="46.5703125" bestFit="1" customWidth="1"/>
    <col min="5" max="5" width="13.85546875" bestFit="1" customWidth="1"/>
    <col min="7" max="7" width="13.5703125" bestFit="1" customWidth="1"/>
  </cols>
  <sheetData>
    <row r="3" spans="3:7" x14ac:dyDescent="0.25">
      <c r="C3" s="72" t="s">
        <v>426</v>
      </c>
      <c r="E3" t="s">
        <v>423</v>
      </c>
      <c r="G3" t="s">
        <v>289</v>
      </c>
    </row>
    <row r="4" spans="3:7" x14ac:dyDescent="0.25">
      <c r="C4" s="71" t="s">
        <v>427</v>
      </c>
      <c r="E4" t="s">
        <v>441</v>
      </c>
      <c r="G4" t="s">
        <v>290</v>
      </c>
    </row>
    <row r="5" spans="3:7" x14ac:dyDescent="0.25">
      <c r="C5" s="71" t="s">
        <v>430</v>
      </c>
      <c r="E5" t="s">
        <v>442</v>
      </c>
      <c r="G5" t="s">
        <v>447</v>
      </c>
    </row>
    <row r="6" spans="3:7" x14ac:dyDescent="0.25">
      <c r="C6" s="71" t="s">
        <v>431</v>
      </c>
      <c r="G6" t="s">
        <v>441</v>
      </c>
    </row>
    <row r="7" spans="3:7" x14ac:dyDescent="0.25">
      <c r="C7" s="71" t="s">
        <v>432</v>
      </c>
    </row>
    <row r="8" spans="3:7" x14ac:dyDescent="0.25">
      <c r="C8" s="71" t="s">
        <v>433</v>
      </c>
    </row>
    <row r="9" spans="3:7" x14ac:dyDescent="0.25">
      <c r="C9" s="71" t="s">
        <v>434</v>
      </c>
    </row>
    <row r="10" spans="3:7" x14ac:dyDescent="0.25">
      <c r="C10" s="71" t="s">
        <v>436</v>
      </c>
    </row>
    <row r="11" spans="3:7" x14ac:dyDescent="0.25">
      <c r="C11" s="71" t="s">
        <v>435</v>
      </c>
    </row>
    <row r="12" spans="3:7" x14ac:dyDescent="0.25">
      <c r="C12" s="71" t="s">
        <v>437</v>
      </c>
    </row>
    <row r="13" spans="3:7" x14ac:dyDescent="0.25">
      <c r="C13" s="71" t="s">
        <v>438</v>
      </c>
    </row>
    <row r="14" spans="3:7" x14ac:dyDescent="0.25">
      <c r="C14" s="71" t="s">
        <v>439</v>
      </c>
    </row>
    <row r="15" spans="3:7" x14ac:dyDescent="0.25">
      <c r="C15" s="71" t="s">
        <v>440</v>
      </c>
    </row>
    <row r="16" spans="3:7" x14ac:dyDescent="0.25">
      <c r="C16" s="71" t="s">
        <v>446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L94"/>
  <sheetViews>
    <sheetView workbookViewId="0">
      <selection activeCell="B10" sqref="B10"/>
    </sheetView>
  </sheetViews>
  <sheetFormatPr defaultRowHeight="15" x14ac:dyDescent="0.25"/>
  <cols>
    <col min="2" max="2" width="18.5703125" bestFit="1" customWidth="1"/>
    <col min="12" max="12" width="11.85546875" bestFit="1" customWidth="1"/>
  </cols>
  <sheetData>
    <row r="2" spans="2:12" x14ac:dyDescent="0.25">
      <c r="B2" t="s">
        <v>292</v>
      </c>
      <c r="C2" t="s">
        <v>293</v>
      </c>
      <c r="J2" t="s">
        <v>294</v>
      </c>
      <c r="L2" t="s">
        <v>393</v>
      </c>
    </row>
    <row r="3" spans="2:12" x14ac:dyDescent="0.25">
      <c r="B3" t="s">
        <v>174</v>
      </c>
      <c r="C3" t="s">
        <v>295</v>
      </c>
      <c r="J3" t="s">
        <v>296</v>
      </c>
      <c r="L3" t="s">
        <v>394</v>
      </c>
    </row>
    <row r="4" spans="2:12" x14ac:dyDescent="0.25">
      <c r="B4" t="s">
        <v>297</v>
      </c>
      <c r="C4" t="s">
        <v>298</v>
      </c>
      <c r="J4" t="s">
        <v>299</v>
      </c>
    </row>
    <row r="5" spans="2:12" x14ac:dyDescent="0.25">
      <c r="B5" t="s">
        <v>300</v>
      </c>
      <c r="C5" t="s">
        <v>301</v>
      </c>
      <c r="J5" t="s">
        <v>302</v>
      </c>
    </row>
    <row r="6" spans="2:12" x14ac:dyDescent="0.25">
      <c r="B6" t="s">
        <v>303</v>
      </c>
      <c r="C6" t="s">
        <v>304</v>
      </c>
    </row>
    <row r="7" spans="2:12" x14ac:dyDescent="0.25">
      <c r="B7" t="s">
        <v>689</v>
      </c>
      <c r="C7" t="s">
        <v>305</v>
      </c>
    </row>
    <row r="8" spans="2:12" x14ac:dyDescent="0.25">
      <c r="B8" t="s">
        <v>306</v>
      </c>
      <c r="C8" t="s">
        <v>307</v>
      </c>
    </row>
    <row r="9" spans="2:12" x14ac:dyDescent="0.25">
      <c r="B9" t="s">
        <v>203</v>
      </c>
      <c r="C9" t="s">
        <v>308</v>
      </c>
    </row>
    <row r="10" spans="2:12" x14ac:dyDescent="0.25">
      <c r="C10" t="s">
        <v>309</v>
      </c>
    </row>
    <row r="11" spans="2:12" x14ac:dyDescent="0.25">
      <c r="C11" t="s">
        <v>310</v>
      </c>
    </row>
    <row r="12" spans="2:12" x14ac:dyDescent="0.25">
      <c r="C12" t="s">
        <v>311</v>
      </c>
    </row>
    <row r="13" spans="2:12" x14ac:dyDescent="0.25">
      <c r="C13" t="s">
        <v>312</v>
      </c>
    </row>
    <row r="14" spans="2:12" x14ac:dyDescent="0.25">
      <c r="C14" t="s">
        <v>313</v>
      </c>
    </row>
    <row r="15" spans="2:12" x14ac:dyDescent="0.25">
      <c r="C15" t="s">
        <v>314</v>
      </c>
    </row>
    <row r="16" spans="2:12" x14ac:dyDescent="0.25">
      <c r="C16" t="s">
        <v>315</v>
      </c>
    </row>
    <row r="17" spans="3:3" x14ac:dyDescent="0.25">
      <c r="C17" t="s">
        <v>316</v>
      </c>
    </row>
    <row r="18" spans="3:3" x14ac:dyDescent="0.25">
      <c r="C18" t="s">
        <v>317</v>
      </c>
    </row>
    <row r="19" spans="3:3" x14ac:dyDescent="0.25">
      <c r="C19" t="s">
        <v>318</v>
      </c>
    </row>
    <row r="20" spans="3:3" x14ac:dyDescent="0.25">
      <c r="C20" t="s">
        <v>319</v>
      </c>
    </row>
    <row r="21" spans="3:3" x14ac:dyDescent="0.25">
      <c r="C21" t="s">
        <v>320</v>
      </c>
    </row>
    <row r="22" spans="3:3" x14ac:dyDescent="0.25">
      <c r="C22" t="s">
        <v>321</v>
      </c>
    </row>
    <row r="23" spans="3:3" x14ac:dyDescent="0.25">
      <c r="C23" t="s">
        <v>322</v>
      </c>
    </row>
    <row r="24" spans="3:3" x14ac:dyDescent="0.25">
      <c r="C24" t="s">
        <v>323</v>
      </c>
    </row>
    <row r="25" spans="3:3" x14ac:dyDescent="0.25">
      <c r="C25" t="s">
        <v>324</v>
      </c>
    </row>
    <row r="26" spans="3:3" x14ac:dyDescent="0.25">
      <c r="C26" t="s">
        <v>325</v>
      </c>
    </row>
    <row r="27" spans="3:3" x14ac:dyDescent="0.25">
      <c r="C27" t="s">
        <v>326</v>
      </c>
    </row>
    <row r="28" spans="3:3" x14ac:dyDescent="0.25">
      <c r="C28" t="s">
        <v>327</v>
      </c>
    </row>
    <row r="29" spans="3:3" x14ac:dyDescent="0.25">
      <c r="C29" t="s">
        <v>328</v>
      </c>
    </row>
    <row r="30" spans="3:3" x14ac:dyDescent="0.25">
      <c r="C30" t="s">
        <v>329</v>
      </c>
    </row>
    <row r="31" spans="3:3" x14ac:dyDescent="0.25">
      <c r="C31" t="s">
        <v>330</v>
      </c>
    </row>
    <row r="32" spans="3:3" x14ac:dyDescent="0.25">
      <c r="C32" t="s">
        <v>331</v>
      </c>
    </row>
    <row r="33" spans="3:3" x14ac:dyDescent="0.25">
      <c r="C33" t="s">
        <v>332</v>
      </c>
    </row>
    <row r="34" spans="3:3" x14ac:dyDescent="0.25">
      <c r="C34" t="s">
        <v>333</v>
      </c>
    </row>
    <row r="35" spans="3:3" x14ac:dyDescent="0.25">
      <c r="C35" t="s">
        <v>334</v>
      </c>
    </row>
    <row r="36" spans="3:3" x14ac:dyDescent="0.25">
      <c r="C36" t="s">
        <v>335</v>
      </c>
    </row>
    <row r="37" spans="3:3" x14ac:dyDescent="0.25">
      <c r="C37" t="s">
        <v>336</v>
      </c>
    </row>
    <row r="38" spans="3:3" x14ac:dyDescent="0.25">
      <c r="C38" t="s">
        <v>337</v>
      </c>
    </row>
    <row r="39" spans="3:3" x14ac:dyDescent="0.25">
      <c r="C39" t="s">
        <v>338</v>
      </c>
    </row>
    <row r="40" spans="3:3" x14ac:dyDescent="0.25">
      <c r="C40" t="s">
        <v>339</v>
      </c>
    </row>
    <row r="41" spans="3:3" x14ac:dyDescent="0.25">
      <c r="C41" t="s">
        <v>340</v>
      </c>
    </row>
    <row r="42" spans="3:3" x14ac:dyDescent="0.25">
      <c r="C42" t="s">
        <v>341</v>
      </c>
    </row>
    <row r="43" spans="3:3" x14ac:dyDescent="0.25">
      <c r="C43" t="s">
        <v>129</v>
      </c>
    </row>
    <row r="44" spans="3:3" x14ac:dyDescent="0.25">
      <c r="C44" t="s">
        <v>342</v>
      </c>
    </row>
    <row r="45" spans="3:3" x14ac:dyDescent="0.25">
      <c r="C45" t="s">
        <v>343</v>
      </c>
    </row>
    <row r="46" spans="3:3" x14ac:dyDescent="0.25">
      <c r="C46" t="s">
        <v>344</v>
      </c>
    </row>
    <row r="47" spans="3:3" x14ac:dyDescent="0.25">
      <c r="C47" t="s">
        <v>345</v>
      </c>
    </row>
    <row r="48" spans="3:3" x14ac:dyDescent="0.25">
      <c r="C48" t="s">
        <v>346</v>
      </c>
    </row>
    <row r="49" spans="3:3" x14ac:dyDescent="0.25">
      <c r="C49" t="s">
        <v>126</v>
      </c>
    </row>
    <row r="50" spans="3:3" x14ac:dyDescent="0.25">
      <c r="C50" t="s">
        <v>347</v>
      </c>
    </row>
    <row r="51" spans="3:3" x14ac:dyDescent="0.25">
      <c r="C51" t="s">
        <v>348</v>
      </c>
    </row>
    <row r="52" spans="3:3" x14ac:dyDescent="0.25">
      <c r="C52" t="s">
        <v>349</v>
      </c>
    </row>
    <row r="53" spans="3:3" x14ac:dyDescent="0.25">
      <c r="C53" t="s">
        <v>350</v>
      </c>
    </row>
    <row r="54" spans="3:3" x14ac:dyDescent="0.25">
      <c r="C54" t="s">
        <v>128</v>
      </c>
    </row>
    <row r="55" spans="3:3" x14ac:dyDescent="0.25">
      <c r="C55" t="s">
        <v>351</v>
      </c>
    </row>
    <row r="56" spans="3:3" x14ac:dyDescent="0.25">
      <c r="C56" t="s">
        <v>352</v>
      </c>
    </row>
    <row r="57" spans="3:3" x14ac:dyDescent="0.25">
      <c r="C57" t="s">
        <v>353</v>
      </c>
    </row>
    <row r="58" spans="3:3" x14ac:dyDescent="0.25">
      <c r="C58" t="s">
        <v>354</v>
      </c>
    </row>
    <row r="59" spans="3:3" x14ac:dyDescent="0.25">
      <c r="C59" t="s">
        <v>355</v>
      </c>
    </row>
    <row r="60" spans="3:3" x14ac:dyDescent="0.25">
      <c r="C60" t="s">
        <v>356</v>
      </c>
    </row>
    <row r="61" spans="3:3" x14ac:dyDescent="0.25">
      <c r="C61" t="s">
        <v>357</v>
      </c>
    </row>
    <row r="62" spans="3:3" x14ac:dyDescent="0.25">
      <c r="C62" t="s">
        <v>358</v>
      </c>
    </row>
    <row r="63" spans="3:3" x14ac:dyDescent="0.25">
      <c r="C63" t="s">
        <v>359</v>
      </c>
    </row>
    <row r="64" spans="3:3" x14ac:dyDescent="0.25">
      <c r="C64" t="s">
        <v>360</v>
      </c>
    </row>
    <row r="65" spans="3:3" x14ac:dyDescent="0.25">
      <c r="C65" t="s">
        <v>361</v>
      </c>
    </row>
    <row r="66" spans="3:3" x14ac:dyDescent="0.25">
      <c r="C66" t="s">
        <v>362</v>
      </c>
    </row>
    <row r="67" spans="3:3" x14ac:dyDescent="0.25">
      <c r="C67" t="s">
        <v>363</v>
      </c>
    </row>
    <row r="68" spans="3:3" x14ac:dyDescent="0.25">
      <c r="C68" t="s">
        <v>364</v>
      </c>
    </row>
    <row r="69" spans="3:3" x14ac:dyDescent="0.25">
      <c r="C69" t="s">
        <v>365</v>
      </c>
    </row>
    <row r="70" spans="3:3" x14ac:dyDescent="0.25">
      <c r="C70" t="s">
        <v>366</v>
      </c>
    </row>
    <row r="71" spans="3:3" x14ac:dyDescent="0.25">
      <c r="C71" t="s">
        <v>367</v>
      </c>
    </row>
    <row r="72" spans="3:3" x14ac:dyDescent="0.25">
      <c r="C72" t="s">
        <v>368</v>
      </c>
    </row>
    <row r="73" spans="3:3" x14ac:dyDescent="0.25">
      <c r="C73" t="s">
        <v>369</v>
      </c>
    </row>
    <row r="74" spans="3:3" x14ac:dyDescent="0.25">
      <c r="C74" t="s">
        <v>13</v>
      </c>
    </row>
    <row r="75" spans="3:3" x14ac:dyDescent="0.25">
      <c r="C75" t="s">
        <v>370</v>
      </c>
    </row>
    <row r="76" spans="3:3" x14ac:dyDescent="0.25">
      <c r="C76" t="s">
        <v>371</v>
      </c>
    </row>
    <row r="77" spans="3:3" x14ac:dyDescent="0.25">
      <c r="C77" t="s">
        <v>372</v>
      </c>
    </row>
    <row r="78" spans="3:3" x14ac:dyDescent="0.25">
      <c r="C78" t="s">
        <v>373</v>
      </c>
    </row>
    <row r="79" spans="3:3" x14ac:dyDescent="0.25">
      <c r="C79" t="s">
        <v>374</v>
      </c>
    </row>
    <row r="80" spans="3:3" x14ac:dyDescent="0.25">
      <c r="C80" t="s">
        <v>375</v>
      </c>
    </row>
    <row r="81" spans="3:3" x14ac:dyDescent="0.25">
      <c r="C81" t="s">
        <v>376</v>
      </c>
    </row>
    <row r="82" spans="3:3" x14ac:dyDescent="0.25">
      <c r="C82" t="s">
        <v>377</v>
      </c>
    </row>
    <row r="83" spans="3:3" x14ac:dyDescent="0.25">
      <c r="C83" t="s">
        <v>378</v>
      </c>
    </row>
    <row r="84" spans="3:3" x14ac:dyDescent="0.25">
      <c r="C84" t="s">
        <v>379</v>
      </c>
    </row>
    <row r="85" spans="3:3" x14ac:dyDescent="0.25">
      <c r="C85" t="s">
        <v>22</v>
      </c>
    </row>
    <row r="86" spans="3:3" x14ac:dyDescent="0.25">
      <c r="C86" t="s">
        <v>380</v>
      </c>
    </row>
    <row r="87" spans="3:3" x14ac:dyDescent="0.25">
      <c r="C87" t="s">
        <v>381</v>
      </c>
    </row>
    <row r="88" spans="3:3" x14ac:dyDescent="0.25">
      <c r="C88" t="s">
        <v>382</v>
      </c>
    </row>
    <row r="89" spans="3:3" x14ac:dyDescent="0.25">
      <c r="C89" t="s">
        <v>8</v>
      </c>
    </row>
    <row r="90" spans="3:3" x14ac:dyDescent="0.25">
      <c r="C90" t="s">
        <v>12</v>
      </c>
    </row>
    <row r="91" spans="3:3" x14ac:dyDescent="0.25">
      <c r="C91" t="s">
        <v>383</v>
      </c>
    </row>
    <row r="92" spans="3:3" x14ac:dyDescent="0.25">
      <c r="C92" t="s">
        <v>102</v>
      </c>
    </row>
    <row r="93" spans="3:3" x14ac:dyDescent="0.25">
      <c r="C93" t="s">
        <v>384</v>
      </c>
    </row>
    <row r="94" spans="3:3" x14ac:dyDescent="0.25">
      <c r="C94" t="s">
        <v>385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4:Y83"/>
  <sheetViews>
    <sheetView workbookViewId="0">
      <selection activeCell="P10" sqref="P10"/>
    </sheetView>
  </sheetViews>
  <sheetFormatPr defaultRowHeight="15" x14ac:dyDescent="0.25"/>
  <cols>
    <col min="2" max="2" width="14.5703125" bestFit="1" customWidth="1"/>
    <col min="8" max="8" width="32.140625" bestFit="1" customWidth="1"/>
    <col min="9" max="9" width="21.7109375" bestFit="1" customWidth="1"/>
    <col min="10" max="10" width="38.42578125" bestFit="1" customWidth="1"/>
    <col min="13" max="13" width="19" bestFit="1" customWidth="1"/>
    <col min="16" max="16" width="10.42578125" bestFit="1" customWidth="1"/>
  </cols>
  <sheetData>
    <row r="4" spans="2:25" x14ac:dyDescent="0.25">
      <c r="V4" t="s">
        <v>289</v>
      </c>
    </row>
    <row r="5" spans="2:25" x14ac:dyDescent="0.25">
      <c r="B5" t="s">
        <v>150</v>
      </c>
      <c r="C5" t="s">
        <v>637</v>
      </c>
      <c r="E5" t="s">
        <v>136</v>
      </c>
      <c r="H5" t="s">
        <v>2</v>
      </c>
      <c r="I5" t="s">
        <v>80</v>
      </c>
      <c r="M5" t="s">
        <v>42</v>
      </c>
      <c r="N5">
        <v>12</v>
      </c>
      <c r="P5" t="s">
        <v>65</v>
      </c>
      <c r="V5" t="s">
        <v>290</v>
      </c>
    </row>
    <row r="6" spans="2:25" x14ac:dyDescent="0.25">
      <c r="B6" t="s">
        <v>151</v>
      </c>
      <c r="C6" t="s">
        <v>638</v>
      </c>
      <c r="E6" t="s">
        <v>137</v>
      </c>
      <c r="H6" t="s">
        <v>3</v>
      </c>
      <c r="I6" t="s">
        <v>81</v>
      </c>
      <c r="J6" t="str">
        <f t="shared" ref="J6:J25" si="0">CONCATENATE("Internal Medicine"," - ",I5)</f>
        <v>Internal Medicine - Administration</v>
      </c>
      <c r="M6" t="s">
        <v>43</v>
      </c>
      <c r="N6">
        <v>9</v>
      </c>
      <c r="P6" t="s">
        <v>66</v>
      </c>
    </row>
    <row r="7" spans="2:25" x14ac:dyDescent="0.25">
      <c r="B7" t="s">
        <v>152</v>
      </c>
      <c r="C7" t="s">
        <v>646</v>
      </c>
      <c r="E7" t="s">
        <v>138</v>
      </c>
      <c r="H7" t="s">
        <v>5</v>
      </c>
      <c r="I7" t="s">
        <v>82</v>
      </c>
      <c r="J7" t="str">
        <f t="shared" si="0"/>
        <v>Internal Medicine - Aids</v>
      </c>
      <c r="M7" t="s">
        <v>44</v>
      </c>
      <c r="N7">
        <v>6</v>
      </c>
      <c r="P7" t="s">
        <v>67</v>
      </c>
      <c r="Y7" t="s">
        <v>289</v>
      </c>
    </row>
    <row r="8" spans="2:25" x14ac:dyDescent="0.25">
      <c r="C8" t="s">
        <v>78</v>
      </c>
      <c r="E8" t="s">
        <v>139</v>
      </c>
      <c r="H8" t="s">
        <v>6</v>
      </c>
      <c r="I8" t="s">
        <v>4</v>
      </c>
      <c r="J8" t="str">
        <f t="shared" si="0"/>
        <v>Internal Medicine - Cardiology</v>
      </c>
      <c r="M8" t="s">
        <v>45</v>
      </c>
      <c r="N8">
        <v>3</v>
      </c>
      <c r="P8" t="s">
        <v>68</v>
      </c>
      <c r="Y8" t="s">
        <v>290</v>
      </c>
    </row>
    <row r="9" spans="2:25" x14ac:dyDescent="0.25">
      <c r="E9" t="s">
        <v>140</v>
      </c>
      <c r="H9" t="s">
        <v>8</v>
      </c>
      <c r="I9" t="s">
        <v>83</v>
      </c>
      <c r="J9" t="str">
        <f t="shared" si="0"/>
        <v>Internal Medicine - Clinical Affairs</v>
      </c>
      <c r="M9" t="s">
        <v>0</v>
      </c>
      <c r="N9">
        <v>12</v>
      </c>
      <c r="P9" t="s">
        <v>69</v>
      </c>
    </row>
    <row r="10" spans="2:25" x14ac:dyDescent="0.25">
      <c r="H10" t="s">
        <v>9</v>
      </c>
      <c r="I10" t="s">
        <v>84</v>
      </c>
      <c r="J10" t="str">
        <f t="shared" si="0"/>
        <v>Internal Medicine - Clinical Scholars</v>
      </c>
      <c r="M10" t="s">
        <v>46</v>
      </c>
      <c r="N10">
        <v>12</v>
      </c>
      <c r="P10" t="s">
        <v>70</v>
      </c>
    </row>
    <row r="11" spans="2:25" x14ac:dyDescent="0.25">
      <c r="H11" t="s">
        <v>10</v>
      </c>
      <c r="I11" t="s">
        <v>85</v>
      </c>
      <c r="J11" t="str">
        <f t="shared" si="0"/>
        <v>Internal Medicine - Digestive Diseases</v>
      </c>
      <c r="M11" t="s">
        <v>48</v>
      </c>
      <c r="N11">
        <v>11</v>
      </c>
      <c r="P11" t="s">
        <v>71</v>
      </c>
    </row>
    <row r="12" spans="2:25" x14ac:dyDescent="0.25">
      <c r="H12" t="s">
        <v>11</v>
      </c>
      <c r="I12" t="s">
        <v>86</v>
      </c>
      <c r="J12" t="str">
        <f t="shared" si="0"/>
        <v>Internal Medicine - Education</v>
      </c>
      <c r="M12" t="s">
        <v>47</v>
      </c>
      <c r="N12">
        <v>10</v>
      </c>
      <c r="X12" t="s">
        <v>616</v>
      </c>
    </row>
    <row r="13" spans="2:25" x14ac:dyDescent="0.25">
      <c r="H13" t="s">
        <v>12</v>
      </c>
      <c r="I13" t="s">
        <v>87</v>
      </c>
      <c r="J13" t="str">
        <f t="shared" si="0"/>
        <v>Internal Medicine - Endocrinology</v>
      </c>
      <c r="M13" t="s">
        <v>49</v>
      </c>
      <c r="N13">
        <v>9</v>
      </c>
      <c r="X13" t="s">
        <v>617</v>
      </c>
    </row>
    <row r="14" spans="2:25" x14ac:dyDescent="0.25">
      <c r="H14" t="s">
        <v>13</v>
      </c>
      <c r="I14" t="s">
        <v>88</v>
      </c>
      <c r="J14" t="str">
        <f t="shared" si="0"/>
        <v>Internal Medicine - General Medicine</v>
      </c>
      <c r="M14" t="s">
        <v>50</v>
      </c>
      <c r="N14">
        <v>8</v>
      </c>
      <c r="X14" t="s">
        <v>619</v>
      </c>
    </row>
    <row r="15" spans="2:25" x14ac:dyDescent="0.25">
      <c r="H15" t="s">
        <v>14</v>
      </c>
      <c r="I15" t="s">
        <v>89</v>
      </c>
      <c r="J15" t="str">
        <f t="shared" si="0"/>
        <v>Internal Medicine - Geriatrics</v>
      </c>
      <c r="M15" t="s">
        <v>51</v>
      </c>
      <c r="N15">
        <v>7</v>
      </c>
      <c r="X15" t="s">
        <v>1</v>
      </c>
    </row>
    <row r="16" spans="2:25" x14ac:dyDescent="0.25">
      <c r="H16" t="s">
        <v>15</v>
      </c>
      <c r="I16" t="s">
        <v>90</v>
      </c>
      <c r="J16" t="str">
        <f t="shared" si="0"/>
        <v>Internal Medicine - Immunology</v>
      </c>
      <c r="M16" t="s">
        <v>52</v>
      </c>
      <c r="N16">
        <v>6</v>
      </c>
    </row>
    <row r="17" spans="2:16" x14ac:dyDescent="0.25">
      <c r="B17" s="26">
        <v>0.4</v>
      </c>
      <c r="D17" s="26">
        <v>0.4</v>
      </c>
      <c r="H17" t="s">
        <v>16</v>
      </c>
      <c r="I17" t="s">
        <v>91</v>
      </c>
      <c r="J17" t="str">
        <f t="shared" si="0"/>
        <v>Internal Medicine - Infectious Diseases</v>
      </c>
      <c r="M17" t="s">
        <v>53</v>
      </c>
      <c r="N17">
        <v>5</v>
      </c>
    </row>
    <row r="18" spans="2:16" x14ac:dyDescent="0.25">
      <c r="B18" s="26">
        <v>0.45</v>
      </c>
      <c r="C18" s="26">
        <v>0.4</v>
      </c>
      <c r="D18" s="26">
        <v>0.45</v>
      </c>
      <c r="H18" t="s">
        <v>17</v>
      </c>
      <c r="I18" t="s">
        <v>92</v>
      </c>
      <c r="J18" t="str">
        <f t="shared" si="0"/>
        <v>Internal Medicine - Global Health</v>
      </c>
      <c r="M18" t="s">
        <v>54</v>
      </c>
      <c r="N18">
        <v>4</v>
      </c>
    </row>
    <row r="19" spans="2:16" x14ac:dyDescent="0.25">
      <c r="B19" s="26">
        <v>0.5</v>
      </c>
      <c r="C19" s="26">
        <v>0.45</v>
      </c>
      <c r="D19" s="26">
        <v>0.5</v>
      </c>
      <c r="H19" t="s">
        <v>18</v>
      </c>
      <c r="I19" t="s">
        <v>93</v>
      </c>
      <c r="J19" t="str">
        <f t="shared" si="0"/>
        <v>Internal Medicine - Nephrology</v>
      </c>
      <c r="M19" t="s">
        <v>55</v>
      </c>
      <c r="N19">
        <v>3</v>
      </c>
    </row>
    <row r="20" spans="2:16" x14ac:dyDescent="0.25">
      <c r="B20" s="26">
        <v>0.55000000000000004</v>
      </c>
      <c r="C20" s="26">
        <v>0.5</v>
      </c>
      <c r="D20" s="26">
        <v>0.55000000000000004</v>
      </c>
      <c r="H20" t="s">
        <v>19</v>
      </c>
      <c r="I20" t="s">
        <v>94</v>
      </c>
      <c r="J20" t="str">
        <f t="shared" si="0"/>
        <v>Internal Medicine - Occupational Medicine</v>
      </c>
      <c r="M20" t="s">
        <v>56</v>
      </c>
      <c r="N20">
        <v>2</v>
      </c>
    </row>
    <row r="21" spans="2:16" x14ac:dyDescent="0.25">
      <c r="B21" s="26">
        <v>0.6</v>
      </c>
      <c r="C21" s="26">
        <v>0.55000000000000004</v>
      </c>
      <c r="D21" s="26">
        <v>0.6</v>
      </c>
      <c r="H21" t="s">
        <v>7</v>
      </c>
      <c r="I21" t="s">
        <v>95</v>
      </c>
      <c r="J21" t="str">
        <f t="shared" si="0"/>
        <v>Internal Medicine - Pulmonary</v>
      </c>
      <c r="M21" t="s">
        <v>57</v>
      </c>
      <c r="N21">
        <v>1</v>
      </c>
    </row>
    <row r="22" spans="2:16" x14ac:dyDescent="0.25">
      <c r="B22" s="26">
        <v>0.65</v>
      </c>
      <c r="C22" s="26">
        <v>0.6</v>
      </c>
      <c r="D22" s="26">
        <v>0.65</v>
      </c>
      <c r="H22" t="s">
        <v>20</v>
      </c>
      <c r="I22" t="s">
        <v>96</v>
      </c>
      <c r="J22" t="str">
        <f t="shared" si="0"/>
        <v>Internal Medicine - Research Affairs</v>
      </c>
    </row>
    <row r="23" spans="2:16" x14ac:dyDescent="0.25">
      <c r="B23" s="26">
        <v>0.7</v>
      </c>
      <c r="C23" s="26">
        <v>0.65</v>
      </c>
      <c r="D23" s="26">
        <v>0.7</v>
      </c>
      <c r="H23" t="s">
        <v>21</v>
      </c>
      <c r="I23" t="s">
        <v>97</v>
      </c>
      <c r="J23" t="str">
        <f t="shared" si="0"/>
        <v>Internal Medicine - Rheumatology</v>
      </c>
    </row>
    <row r="24" spans="2:16" x14ac:dyDescent="0.25">
      <c r="B24" s="26">
        <v>0.75</v>
      </c>
      <c r="C24" s="26">
        <v>0.7</v>
      </c>
      <c r="D24" s="26">
        <v>0.75</v>
      </c>
      <c r="H24" t="s">
        <v>22</v>
      </c>
      <c r="I24" t="s">
        <v>98</v>
      </c>
      <c r="J24" t="str">
        <f t="shared" si="0"/>
        <v>Internal Medicine - Stem Cell Center</v>
      </c>
    </row>
    <row r="25" spans="2:16" ht="15.75" x14ac:dyDescent="0.25">
      <c r="B25" s="26">
        <v>0.8</v>
      </c>
      <c r="C25" s="26">
        <v>0.75</v>
      </c>
      <c r="D25" s="26">
        <v>0.8</v>
      </c>
      <c r="H25" t="s">
        <v>73</v>
      </c>
      <c r="I25" s="20" t="s">
        <v>80</v>
      </c>
      <c r="J25" t="str">
        <f t="shared" si="0"/>
        <v>Internal Medicine - PA Program</v>
      </c>
      <c r="M25" t="s">
        <v>162</v>
      </c>
    </row>
    <row r="26" spans="2:16" ht="15.75" x14ac:dyDescent="0.25">
      <c r="B26" s="26">
        <v>0.85</v>
      </c>
      <c r="C26" s="26">
        <v>0.8</v>
      </c>
      <c r="D26" s="26">
        <v>0.85</v>
      </c>
      <c r="I26" s="20" t="s">
        <v>116</v>
      </c>
      <c r="J26" t="str">
        <f t="shared" ref="J26:J34" si="1">CONCATENATE("OB-GYN"," - ",I25)</f>
        <v>OB-GYN - Administration</v>
      </c>
      <c r="M26" t="s">
        <v>159</v>
      </c>
      <c r="P26" t="s">
        <v>213</v>
      </c>
    </row>
    <row r="27" spans="2:16" ht="15.75" x14ac:dyDescent="0.25">
      <c r="B27" s="26">
        <v>0.9</v>
      </c>
      <c r="C27" s="26">
        <v>0.85</v>
      </c>
      <c r="D27" s="26">
        <v>0.9</v>
      </c>
      <c r="I27" s="20" t="s">
        <v>86</v>
      </c>
      <c r="J27" t="str">
        <f t="shared" si="1"/>
        <v>OB-GYN - Community Physicians</v>
      </c>
      <c r="M27" t="s">
        <v>161</v>
      </c>
      <c r="P27" t="s">
        <v>212</v>
      </c>
    </row>
    <row r="28" spans="2:16" ht="15.75" x14ac:dyDescent="0.25">
      <c r="B28" s="26">
        <v>0.95</v>
      </c>
      <c r="C28" s="26">
        <v>0.9</v>
      </c>
      <c r="D28" s="26">
        <v>0.95</v>
      </c>
      <c r="I28" s="20" t="s">
        <v>101</v>
      </c>
      <c r="J28" t="str">
        <f t="shared" si="1"/>
        <v>OB-GYN - Endocrinology</v>
      </c>
      <c r="M28" t="s">
        <v>174</v>
      </c>
    </row>
    <row r="29" spans="2:16" ht="15.75" x14ac:dyDescent="0.25">
      <c r="B29" s="26">
        <v>1</v>
      </c>
      <c r="C29" s="26">
        <v>0.95</v>
      </c>
      <c r="D29" s="26">
        <v>1</v>
      </c>
      <c r="I29" s="20" t="s">
        <v>117</v>
      </c>
      <c r="J29" t="str">
        <f t="shared" si="1"/>
        <v>OB-GYN - Oncology</v>
      </c>
      <c r="M29" t="s">
        <v>203</v>
      </c>
    </row>
    <row r="30" spans="2:16" ht="15.75" x14ac:dyDescent="0.25">
      <c r="B30" s="233" t="s">
        <v>626</v>
      </c>
      <c r="C30" s="26">
        <v>1</v>
      </c>
      <c r="D30" s="233" t="s">
        <v>627</v>
      </c>
      <c r="I30" s="20" t="s">
        <v>118</v>
      </c>
      <c r="J30" t="str">
        <f t="shared" si="1"/>
        <v>OB-GYN - Perinatology</v>
      </c>
      <c r="M30" t="s">
        <v>160</v>
      </c>
    </row>
    <row r="31" spans="2:16" ht="15.75" x14ac:dyDescent="0.25">
      <c r="C31" s="233" t="s">
        <v>627</v>
      </c>
      <c r="I31" s="20" t="s">
        <v>119</v>
      </c>
      <c r="J31" t="str">
        <f t="shared" si="1"/>
        <v>OB-GYN - Reproductive Sciences</v>
      </c>
    </row>
    <row r="32" spans="2:16" ht="15.75" x14ac:dyDescent="0.25">
      <c r="B32" t="s">
        <v>193</v>
      </c>
      <c r="E32" t="s">
        <v>259</v>
      </c>
      <c r="I32" s="20" t="s">
        <v>120</v>
      </c>
      <c r="J32" t="str">
        <f t="shared" si="1"/>
        <v>OB-GYN - Teaching</v>
      </c>
    </row>
    <row r="33" spans="2:10" ht="15.75" x14ac:dyDescent="0.25">
      <c r="B33" t="s">
        <v>194</v>
      </c>
      <c r="E33" t="s">
        <v>261</v>
      </c>
      <c r="I33" s="20" t="s">
        <v>121</v>
      </c>
      <c r="J33" t="str">
        <f t="shared" si="1"/>
        <v>OB-GYN - Urogynecology</v>
      </c>
    </row>
    <row r="34" spans="2:10" ht="15.75" x14ac:dyDescent="0.25">
      <c r="B34" t="s">
        <v>195</v>
      </c>
      <c r="E34" t="s">
        <v>260</v>
      </c>
      <c r="I34" s="20" t="s">
        <v>80</v>
      </c>
      <c r="J34" t="str">
        <f t="shared" si="1"/>
        <v>OB-GYN - Family Planning</v>
      </c>
    </row>
    <row r="35" spans="2:10" ht="15.75" x14ac:dyDescent="0.25">
      <c r="B35" t="s">
        <v>281</v>
      </c>
      <c r="E35" t="s">
        <v>262</v>
      </c>
      <c r="I35" s="20" t="s">
        <v>122</v>
      </c>
      <c r="J35" t="str">
        <f>CONCATENATE("Pediatrics"," - ",I34)</f>
        <v>Pediatrics - Administration</v>
      </c>
    </row>
    <row r="36" spans="2:10" ht="15.75" x14ac:dyDescent="0.25">
      <c r="B36" t="s">
        <v>282</v>
      </c>
      <c r="E36" t="s">
        <v>263</v>
      </c>
      <c r="I36" s="20" t="s">
        <v>82</v>
      </c>
      <c r="J36" t="str">
        <f t="shared" ref="J36:J54" si="2">CONCATENATE("Pediatrics"," - ",I35)</f>
        <v>Pediatrics - Hematology / Oncology</v>
      </c>
    </row>
    <row r="37" spans="2:10" ht="15.75" x14ac:dyDescent="0.25">
      <c r="B37" t="s">
        <v>400</v>
      </c>
      <c r="I37" s="20" t="s">
        <v>86</v>
      </c>
      <c r="J37" t="str">
        <f t="shared" si="2"/>
        <v>Pediatrics - Cardiology</v>
      </c>
    </row>
    <row r="38" spans="2:10" ht="15.75" x14ac:dyDescent="0.25">
      <c r="B38" t="s">
        <v>684</v>
      </c>
      <c r="I38" s="20" t="s">
        <v>123</v>
      </c>
      <c r="J38" t="str">
        <f t="shared" si="2"/>
        <v>Pediatrics - Endocrinology</v>
      </c>
    </row>
    <row r="39" spans="2:10" ht="15.75" x14ac:dyDescent="0.25">
      <c r="B39" t="s">
        <v>685</v>
      </c>
      <c r="I39" s="20" t="s">
        <v>124</v>
      </c>
      <c r="J39" t="str">
        <f t="shared" si="2"/>
        <v>Pediatrics - Gastroenterology</v>
      </c>
    </row>
    <row r="40" spans="2:10" ht="15.75" x14ac:dyDescent="0.25">
      <c r="B40" t="s">
        <v>686</v>
      </c>
      <c r="I40" s="20" t="s">
        <v>125</v>
      </c>
      <c r="J40" t="str">
        <f t="shared" si="2"/>
        <v>Pediatrics - Emergency Dept</v>
      </c>
    </row>
    <row r="41" spans="2:10" ht="15.75" x14ac:dyDescent="0.25">
      <c r="B41" t="s">
        <v>687</v>
      </c>
      <c r="I41" s="20" t="s">
        <v>89</v>
      </c>
      <c r="J41" t="str">
        <f t="shared" si="2"/>
        <v>Pediatrics - Infectious Disease</v>
      </c>
    </row>
    <row r="42" spans="2:10" ht="15.75" x14ac:dyDescent="0.25">
      <c r="I42" s="20" t="s">
        <v>92</v>
      </c>
      <c r="J42" t="str">
        <f t="shared" si="2"/>
        <v>Pediatrics - Immunology</v>
      </c>
    </row>
    <row r="43" spans="2:10" ht="15.75" x14ac:dyDescent="0.25">
      <c r="I43" s="20" t="s">
        <v>12</v>
      </c>
      <c r="J43" t="str">
        <f t="shared" si="2"/>
        <v>Pediatrics - Nephrology</v>
      </c>
    </row>
    <row r="44" spans="2:10" ht="15.75" x14ac:dyDescent="0.25">
      <c r="I44" s="20" t="s">
        <v>126</v>
      </c>
      <c r="J44" t="str">
        <f t="shared" si="2"/>
        <v>Pediatrics - Neurology</v>
      </c>
    </row>
    <row r="45" spans="2:10" ht="15.75" x14ac:dyDescent="0.25">
      <c r="I45" s="20" t="s">
        <v>127</v>
      </c>
      <c r="J45" t="str">
        <f t="shared" si="2"/>
        <v>Pediatrics - General Pediatrics</v>
      </c>
    </row>
    <row r="46" spans="2:10" ht="15.75" x14ac:dyDescent="0.25">
      <c r="I46" s="20" t="s">
        <v>128</v>
      </c>
      <c r="J46" t="str">
        <f t="shared" si="2"/>
        <v>Pediatrics - Respiratory</v>
      </c>
    </row>
    <row r="47" spans="2:10" ht="15.75" x14ac:dyDescent="0.25">
      <c r="I47" s="20" t="s">
        <v>129</v>
      </c>
      <c r="J47" t="str">
        <f t="shared" si="2"/>
        <v>Pediatrics - Neonatology</v>
      </c>
    </row>
    <row r="48" spans="2:10" ht="15.75" x14ac:dyDescent="0.25">
      <c r="I48" s="20" t="s">
        <v>130</v>
      </c>
      <c r="J48" t="str">
        <f t="shared" si="2"/>
        <v>Pediatrics - Adolescent Medicine</v>
      </c>
    </row>
    <row r="49" spans="9:13" ht="15.75" x14ac:dyDescent="0.25">
      <c r="I49" s="20" t="s">
        <v>131</v>
      </c>
      <c r="J49" t="str">
        <f t="shared" si="2"/>
        <v>Pediatrics - Critical Care</v>
      </c>
    </row>
    <row r="50" spans="9:13" ht="15.75" x14ac:dyDescent="0.25">
      <c r="I50" s="20" t="s">
        <v>132</v>
      </c>
      <c r="J50" t="str">
        <f t="shared" si="2"/>
        <v>Pediatrics - Hospitalist</v>
      </c>
      <c r="M50" t="s">
        <v>289</v>
      </c>
    </row>
    <row r="51" spans="9:13" ht="15.75" x14ac:dyDescent="0.25">
      <c r="I51" s="20" t="s">
        <v>133</v>
      </c>
      <c r="J51" t="str">
        <f t="shared" si="2"/>
        <v>Pediatrics - Pedi Epilepsy</v>
      </c>
      <c r="M51" t="s">
        <v>290</v>
      </c>
    </row>
    <row r="52" spans="9:13" ht="15.75" x14ac:dyDescent="0.25">
      <c r="I52" s="20" t="s">
        <v>134</v>
      </c>
      <c r="J52" t="str">
        <f t="shared" si="2"/>
        <v>Pediatrics - International Adoption</v>
      </c>
    </row>
    <row r="53" spans="9:13" ht="15.75" x14ac:dyDescent="0.25">
      <c r="I53" s="20" t="s">
        <v>135</v>
      </c>
      <c r="J53" t="str">
        <f t="shared" si="2"/>
        <v>Pediatrics - DBP Developmental Behavior Ped</v>
      </c>
    </row>
    <row r="54" spans="9:13" ht="15.75" x14ac:dyDescent="0.25">
      <c r="I54" s="20" t="s">
        <v>80</v>
      </c>
      <c r="J54" t="str">
        <f t="shared" si="2"/>
        <v>Pediatrics - Stem Cell CTR</v>
      </c>
    </row>
    <row r="55" spans="9:13" ht="15.75" x14ac:dyDescent="0.25">
      <c r="I55" s="20" t="s">
        <v>99</v>
      </c>
      <c r="J55" t="s">
        <v>271</v>
      </c>
    </row>
    <row r="56" spans="9:13" ht="15.75" x14ac:dyDescent="0.25">
      <c r="I56" s="20" t="s">
        <v>100</v>
      </c>
      <c r="J56" t="s">
        <v>272</v>
      </c>
    </row>
    <row r="57" spans="9:13" ht="15.75" x14ac:dyDescent="0.25">
      <c r="I57" s="20" t="s">
        <v>101</v>
      </c>
      <c r="J57" t="s">
        <v>273</v>
      </c>
    </row>
    <row r="58" spans="9:13" ht="15.75" x14ac:dyDescent="0.25">
      <c r="I58" s="20" t="s">
        <v>102</v>
      </c>
      <c r="J58" t="s">
        <v>274</v>
      </c>
    </row>
    <row r="59" spans="9:13" ht="15.75" x14ac:dyDescent="0.25">
      <c r="I59" s="20" t="s">
        <v>18</v>
      </c>
      <c r="J59" t="s">
        <v>275</v>
      </c>
    </row>
    <row r="60" spans="9:13" ht="15.75" x14ac:dyDescent="0.25">
      <c r="I60" s="20" t="s">
        <v>103</v>
      </c>
      <c r="J60" t="s">
        <v>276</v>
      </c>
    </row>
    <row r="61" spans="9:13" ht="15.75" x14ac:dyDescent="0.25">
      <c r="I61" s="20" t="s">
        <v>104</v>
      </c>
      <c r="J61" t="s">
        <v>277</v>
      </c>
    </row>
    <row r="62" spans="9:13" ht="15.75" x14ac:dyDescent="0.25">
      <c r="I62" s="20" t="s">
        <v>105</v>
      </c>
      <c r="J62" t="s">
        <v>278</v>
      </c>
    </row>
    <row r="63" spans="9:13" ht="15.75" x14ac:dyDescent="0.25">
      <c r="I63" s="20" t="s">
        <v>106</v>
      </c>
      <c r="J63" t="s">
        <v>279</v>
      </c>
    </row>
    <row r="64" spans="9:13" ht="15.75" x14ac:dyDescent="0.25">
      <c r="I64" s="20" t="s">
        <v>107</v>
      </c>
      <c r="J64" t="s">
        <v>280</v>
      </c>
    </row>
    <row r="65" spans="9:10" ht="15.75" x14ac:dyDescent="0.25">
      <c r="I65" s="20" t="s">
        <v>108</v>
      </c>
      <c r="J65" t="str">
        <f t="shared" ref="J65:J83" si="3">CONCATENATE("Surgery"," - ",I54)</f>
        <v>Surgery - Administration</v>
      </c>
    </row>
    <row r="66" spans="9:10" ht="15.75" x14ac:dyDescent="0.25">
      <c r="I66" s="20" t="s">
        <v>109</v>
      </c>
      <c r="J66" t="str">
        <f t="shared" si="3"/>
        <v>Surgery - Section of Cardiac Surgery</v>
      </c>
    </row>
    <row r="67" spans="9:10" ht="15.75" x14ac:dyDescent="0.25">
      <c r="I67" s="20" t="s">
        <v>110</v>
      </c>
      <c r="J67" t="str">
        <f t="shared" si="3"/>
        <v>Surgery - Medical Education</v>
      </c>
    </row>
    <row r="68" spans="9:10" ht="15.75" x14ac:dyDescent="0.25">
      <c r="I68" s="20" t="s">
        <v>111</v>
      </c>
      <c r="J68" t="str">
        <f t="shared" si="3"/>
        <v>Surgery - Oncology</v>
      </c>
    </row>
    <row r="69" spans="9:10" ht="15.75" x14ac:dyDescent="0.25">
      <c r="I69" s="20" t="s">
        <v>112</v>
      </c>
      <c r="J69" t="str">
        <f t="shared" si="3"/>
        <v>Surgery - Otolaryngology</v>
      </c>
    </row>
    <row r="70" spans="9:10" ht="15.75" x14ac:dyDescent="0.25">
      <c r="I70" s="20" t="s">
        <v>113</v>
      </c>
      <c r="J70" t="str">
        <f t="shared" si="3"/>
        <v>Surgery - Pediatrics</v>
      </c>
    </row>
    <row r="71" spans="9:10" ht="15.75" x14ac:dyDescent="0.25">
      <c r="I71" s="20" t="s">
        <v>114</v>
      </c>
      <c r="J71" t="str">
        <f t="shared" si="3"/>
        <v>Surgery - Plastic</v>
      </c>
    </row>
    <row r="72" spans="9:10" ht="15.75" x14ac:dyDescent="0.25">
      <c r="I72" s="20" t="s">
        <v>115</v>
      </c>
      <c r="J72" t="str">
        <f t="shared" si="3"/>
        <v>Surgery - Section of Thoracic Surgery</v>
      </c>
    </row>
    <row r="73" spans="9:10" x14ac:dyDescent="0.25">
      <c r="J73" t="str">
        <f t="shared" si="3"/>
        <v>Surgery - Gross Anatomy</v>
      </c>
    </row>
    <row r="74" spans="9:10" x14ac:dyDescent="0.25">
      <c r="J74" t="str">
        <f t="shared" si="3"/>
        <v>Surgery - Neuropathology</v>
      </c>
    </row>
    <row r="75" spans="9:10" x14ac:dyDescent="0.25">
      <c r="J75" t="str">
        <f t="shared" si="3"/>
        <v>Surgery - Surgical Outcomes</v>
      </c>
    </row>
    <row r="76" spans="9:10" x14ac:dyDescent="0.25">
      <c r="J76" t="str">
        <f t="shared" si="3"/>
        <v>Surgery - Transplant</v>
      </c>
    </row>
    <row r="77" spans="9:10" x14ac:dyDescent="0.25">
      <c r="J77" t="str">
        <f t="shared" si="3"/>
        <v>Surgery - Trauma</v>
      </c>
    </row>
    <row r="78" spans="9:10" x14ac:dyDescent="0.25">
      <c r="J78" t="str">
        <f t="shared" si="3"/>
        <v>Surgery - Vascular</v>
      </c>
    </row>
    <row r="79" spans="9:10" x14ac:dyDescent="0.25">
      <c r="J79" t="str">
        <f t="shared" si="3"/>
        <v>Surgery - Chairman</v>
      </c>
    </row>
    <row r="80" spans="9:10" x14ac:dyDescent="0.25">
      <c r="J80" t="str">
        <f t="shared" si="3"/>
        <v>Surgery - Billing</v>
      </c>
    </row>
    <row r="81" spans="10:10" x14ac:dyDescent="0.25">
      <c r="J81" t="str">
        <f t="shared" si="3"/>
        <v>Surgery - Endocrine Surgery</v>
      </c>
    </row>
    <row r="82" spans="10:10" x14ac:dyDescent="0.25">
      <c r="J82" t="str">
        <f t="shared" si="3"/>
        <v>Surgery - Gastrointestinal</v>
      </c>
    </row>
    <row r="83" spans="10:10" x14ac:dyDescent="0.25">
      <c r="J83" t="str">
        <f t="shared" si="3"/>
        <v>Surgery - Stem Cell Ctr</v>
      </c>
    </row>
  </sheetData>
  <phoneticPr fontId="112" type="noConversion"/>
  <dataValidations count="1">
    <dataValidation type="list" allowBlank="1" showInputMessage="1" showErrorMessage="1" sqref="H2" xr:uid="{00000000-0002-0000-1400-000000000000}">
      <formula1>departments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499984740745262"/>
    <pageSetUpPr fitToPage="1"/>
  </sheetPr>
  <dimension ref="A1:K51"/>
  <sheetViews>
    <sheetView showGridLines="0" zoomScale="85" zoomScaleNormal="85" workbookViewId="0">
      <pane ySplit="4" topLeftCell="A5" activePane="bottomLeft" state="frozen"/>
      <selection activeCell="C62" sqref="C62"/>
      <selection pane="bottomLeft" activeCell="F36" sqref="F36"/>
    </sheetView>
  </sheetViews>
  <sheetFormatPr defaultColWidth="9.28515625" defaultRowHeight="15.75" x14ac:dyDescent="0.25"/>
  <cols>
    <col min="1" max="1" width="53.42578125" style="75" customWidth="1"/>
    <col min="2" max="4" width="17.7109375" style="83" customWidth="1"/>
    <col min="5" max="5" width="2.140625" style="83" customWidth="1"/>
    <col min="6" max="6" width="17.7109375" style="83" customWidth="1"/>
    <col min="7" max="7" width="2.140625" style="5" customWidth="1"/>
    <col min="8" max="8" width="9.28515625" style="5"/>
    <col min="9" max="9" width="12.5703125" style="5" bestFit="1" customWidth="1"/>
    <col min="10" max="10" width="11.5703125" style="5" bestFit="1" customWidth="1"/>
    <col min="11" max="16384" width="9.28515625" style="5"/>
  </cols>
  <sheetData>
    <row r="1" spans="1:8" s="6" customFormat="1" x14ac:dyDescent="0.25">
      <c r="A1" s="76"/>
      <c r="B1" s="77"/>
      <c r="C1" s="77"/>
      <c r="D1" s="77"/>
      <c r="E1" s="77"/>
      <c r="F1" s="77"/>
      <c r="G1" s="33"/>
    </row>
    <row r="2" spans="1:8" s="7" customFormat="1" ht="19.5" thickBot="1" x14ac:dyDescent="0.35">
      <c r="A2" s="78"/>
      <c r="B2" s="49"/>
      <c r="C2" s="49"/>
      <c r="D2" s="79"/>
      <c r="E2" s="79"/>
      <c r="F2" s="79"/>
    </row>
    <row r="3" spans="1:8" s="7" customFormat="1" ht="5.25" customHeight="1" x14ac:dyDescent="0.25">
      <c r="A3" s="49"/>
      <c r="B3" s="49"/>
      <c r="C3" s="49"/>
      <c r="D3" s="49"/>
      <c r="E3" s="49"/>
      <c r="F3" s="80"/>
      <c r="G3" s="74"/>
    </row>
    <row r="4" spans="1:8" s="8" customFormat="1" ht="16.5" thickBot="1" x14ac:dyDescent="0.3">
      <c r="A4" s="49" t="s">
        <v>458</v>
      </c>
      <c r="B4" s="75" t="s">
        <v>23</v>
      </c>
      <c r="C4" s="81" t="s">
        <v>24</v>
      </c>
      <c r="D4" s="81" t="s">
        <v>25</v>
      </c>
      <c r="E4" s="81"/>
      <c r="F4" s="82"/>
      <c r="G4" s="34"/>
      <c r="H4" s="48" t="s">
        <v>196</v>
      </c>
    </row>
    <row r="5" spans="1:8" ht="9" customHeight="1" thickTop="1" x14ac:dyDescent="0.25">
      <c r="A5" s="49"/>
      <c r="F5" s="52"/>
    </row>
    <row r="6" spans="1:8" x14ac:dyDescent="0.25">
      <c r="A6" s="31" t="s">
        <v>64</v>
      </c>
      <c r="B6" s="89">
        <f>'YSM-YM Clinical Plan'!C13</f>
        <v>0</v>
      </c>
      <c r="C6" s="89">
        <f>'YSM-YM Clinical Plan'!D13</f>
        <v>0</v>
      </c>
      <c r="D6" s="89">
        <f>'YSM-YM Clinical Plan'!E13</f>
        <v>0</v>
      </c>
      <c r="E6" s="84"/>
      <c r="F6" s="55">
        <f>SUM(B6:D6)</f>
        <v>0</v>
      </c>
      <c r="G6" s="35"/>
    </row>
    <row r="7" spans="1:8" ht="15" customHeight="1" x14ac:dyDescent="0.25">
      <c r="A7" s="31" t="s">
        <v>147</v>
      </c>
      <c r="B7" s="90">
        <f>'YSM-YM Clinical Plan'!C14</f>
        <v>0</v>
      </c>
      <c r="C7" s="90">
        <f>'YSM-YM Clinical Plan'!D14</f>
        <v>0</v>
      </c>
      <c r="D7" s="90">
        <f>'YSM-YM Clinical Plan'!E14</f>
        <v>0</v>
      </c>
      <c r="E7" s="85"/>
      <c r="F7" s="41">
        <f>SUM(B7:E7)</f>
        <v>0</v>
      </c>
      <c r="G7" s="12"/>
      <c r="H7" s="67"/>
    </row>
    <row r="8" spans="1:8" x14ac:dyDescent="0.25">
      <c r="A8" s="31" t="s">
        <v>77</v>
      </c>
      <c r="B8" s="90">
        <f>'YSM-YM Clinical Plan'!C15</f>
        <v>0</v>
      </c>
      <c r="C8" s="90">
        <f>'YSM-YM Clinical Plan'!D15</f>
        <v>0</v>
      </c>
      <c r="D8" s="90">
        <f>'YSM-YM Clinical Plan'!E15</f>
        <v>0</v>
      </c>
      <c r="E8" s="85"/>
      <c r="F8" s="41">
        <f>SUM(B8:E8)</f>
        <v>0</v>
      </c>
      <c r="G8" s="12"/>
      <c r="H8" s="67"/>
    </row>
    <row r="9" spans="1:8" x14ac:dyDescent="0.25">
      <c r="A9" s="31" t="s">
        <v>211</v>
      </c>
      <c r="B9" s="91">
        <f>'YSM-YM Clinical Plan'!C16</f>
        <v>0</v>
      </c>
      <c r="C9" s="91">
        <f>'YSM-YM Clinical Plan'!D16</f>
        <v>0</v>
      </c>
      <c r="D9" s="91">
        <f>'YSM-YM Clinical Plan'!E16</f>
        <v>0</v>
      </c>
      <c r="E9" s="86"/>
      <c r="F9" s="53">
        <f>SUM(B9:D9)</f>
        <v>0</v>
      </c>
      <c r="G9" s="12"/>
    </row>
    <row r="10" spans="1:8" x14ac:dyDescent="0.25">
      <c r="A10" s="31" t="s">
        <v>424</v>
      </c>
      <c r="B10" s="54">
        <f>'YSM-YM Clinical Plan'!C17</f>
        <v>0</v>
      </c>
      <c r="C10" s="54">
        <f>'YSM-YM Clinical Plan'!D17</f>
        <v>0</v>
      </c>
      <c r="D10" s="54">
        <f>'YSM-YM Clinical Plan'!E17</f>
        <v>0</v>
      </c>
      <c r="E10" s="2"/>
      <c r="F10" s="53">
        <f>SUM(B10:D10)</f>
        <v>0</v>
      </c>
      <c r="G10" s="14"/>
      <c r="H10" s="67"/>
    </row>
    <row r="11" spans="1:8" ht="9" customHeight="1" x14ac:dyDescent="0.25">
      <c r="A11" s="31"/>
      <c r="B11" s="2"/>
      <c r="C11" s="2"/>
      <c r="D11" s="2"/>
      <c r="E11" s="2"/>
      <c r="F11" s="15"/>
      <c r="G11" s="35"/>
    </row>
    <row r="12" spans="1:8" x14ac:dyDescent="0.25">
      <c r="A12" s="43" t="s">
        <v>153</v>
      </c>
      <c r="B12" s="2"/>
      <c r="C12" s="2"/>
      <c r="D12" s="2"/>
      <c r="E12" s="2"/>
      <c r="F12" s="15"/>
      <c r="G12" s="35"/>
    </row>
    <row r="13" spans="1:8" x14ac:dyDescent="0.25">
      <c r="A13" s="44" t="s">
        <v>145</v>
      </c>
      <c r="B13" s="24" t="str">
        <f>IF(B7&gt;0,B6/B7," ")</f>
        <v xml:space="preserve"> </v>
      </c>
      <c r="C13" s="24" t="str">
        <f>IF(C7&gt;0,C6/C7," ")</f>
        <v xml:space="preserve"> </v>
      </c>
      <c r="D13" s="24" t="str">
        <f>IF(D7&gt;0,D6/D7," ")</f>
        <v xml:space="preserve"> </v>
      </c>
      <c r="E13" s="24"/>
      <c r="F13" s="25" t="str">
        <f>IF(F6&gt;0,F6/F7," ")</f>
        <v xml:space="preserve"> </v>
      </c>
      <c r="G13" s="36"/>
    </row>
    <row r="14" spans="1:8" x14ac:dyDescent="0.25">
      <c r="A14" s="44" t="s">
        <v>146</v>
      </c>
      <c r="B14" s="23" t="str">
        <f>IF(B7&gt;0,B10/B7," ")</f>
        <v xml:space="preserve"> </v>
      </c>
      <c r="C14" s="23" t="str">
        <f>IF(C7&gt;0,C10/C7," ")</f>
        <v xml:space="preserve"> </v>
      </c>
      <c r="D14" s="23" t="str">
        <f>IF(D7&gt;0,D10/D7," ")</f>
        <v xml:space="preserve"> </v>
      </c>
      <c r="E14" s="23"/>
      <c r="F14" s="17" t="str">
        <f>IFERROR(IF(F10&gt;0,F10/F7," ")," ")</f>
        <v xml:space="preserve"> </v>
      </c>
      <c r="G14" s="37"/>
    </row>
    <row r="15" spans="1:8" x14ac:dyDescent="0.25">
      <c r="A15" s="44" t="s">
        <v>72</v>
      </c>
      <c r="B15" s="23" t="str">
        <f>IFERROR(IF(B10&gt;0,B10/B6," ")," ")</f>
        <v xml:space="preserve"> </v>
      </c>
      <c r="C15" s="23" t="str">
        <f>IFERROR(IF(C10&gt;0,C10/C6," ")," ")</f>
        <v xml:space="preserve"> </v>
      </c>
      <c r="D15" s="23" t="str">
        <f>IFERROR(IF(D10&gt;0,D10/D6," ")," ")</f>
        <v xml:space="preserve"> </v>
      </c>
      <c r="E15" s="23"/>
      <c r="F15" s="17" t="str">
        <f>IFERROR(IF(F10&gt;0,F10/F6," ")," ")</f>
        <v xml:space="preserve"> </v>
      </c>
      <c r="G15" s="38"/>
    </row>
    <row r="16" spans="1:8" ht="9" customHeight="1" x14ac:dyDescent="0.25">
      <c r="A16" s="51"/>
      <c r="B16" s="2"/>
      <c r="C16" s="2"/>
      <c r="D16" s="2"/>
      <c r="E16" s="2"/>
      <c r="F16" s="16"/>
      <c r="G16" s="14"/>
    </row>
    <row r="17" spans="1:8" x14ac:dyDescent="0.25">
      <c r="A17" s="43" t="s">
        <v>37</v>
      </c>
      <c r="B17" s="2"/>
      <c r="C17" s="2"/>
      <c r="D17" s="2"/>
      <c r="E17" s="2"/>
      <c r="F17" s="16"/>
      <c r="G17" s="14"/>
      <c r="H17" s="6"/>
    </row>
    <row r="18" spans="1:8" x14ac:dyDescent="0.25">
      <c r="A18" s="31" t="s">
        <v>599</v>
      </c>
      <c r="B18" s="29">
        <f>'YSM-YM Clinical Plan'!C23+'YSM-YM Clinical Plan'!C24+'YSM-YM Clinical Plan'!C25+'YSM-YM Clinical Plan'!C26</f>
        <v>0</v>
      </c>
      <c r="C18" s="29">
        <f>'YSM-YM Clinical Plan'!D23+'YSM-YM Clinical Plan'!D24+'YSM-YM Clinical Plan'!D25+'YSM-YM Clinical Plan'!D26</f>
        <v>0</v>
      </c>
      <c r="D18" s="29">
        <f>'YSM-YM Clinical Plan'!E23+'YSM-YM Clinical Plan'!E24+'YSM-YM Clinical Plan'!E25+'YSM-YM Clinical Plan'!E26</f>
        <v>0</v>
      </c>
      <c r="E18" s="29"/>
      <c r="F18" s="42">
        <f>SUM(B18:D18)</f>
        <v>0</v>
      </c>
      <c r="G18" s="14"/>
      <c r="H18" s="6"/>
    </row>
    <row r="19" spans="1:8" x14ac:dyDescent="0.25">
      <c r="A19" s="31" t="s">
        <v>455</v>
      </c>
      <c r="B19" s="29">
        <f>SUM('YSM-YM Clinical Plan'!C27:C30)</f>
        <v>0</v>
      </c>
      <c r="C19" s="29">
        <f>SUM('YSM-YM Clinical Plan'!D27:D30)</f>
        <v>0</v>
      </c>
      <c r="D19" s="29">
        <f>SUM('YSM-YM Clinical Plan'!E27:E30)</f>
        <v>0</v>
      </c>
      <c r="E19" s="29"/>
      <c r="F19" s="42">
        <f t="shared" ref="F19:F22" si="0">SUM(B19:D19)</f>
        <v>0</v>
      </c>
      <c r="G19" s="14"/>
      <c r="H19" s="6"/>
    </row>
    <row r="20" spans="1:8" x14ac:dyDescent="0.25">
      <c r="A20" s="31" t="s">
        <v>456</v>
      </c>
      <c r="B20" s="29">
        <f>'Research Plan'!I6</f>
        <v>0</v>
      </c>
      <c r="C20" s="29">
        <f>'Research Plan'!Q6</f>
        <v>0</v>
      </c>
      <c r="D20" s="29">
        <f>'Research Plan'!Y6</f>
        <v>0</v>
      </c>
      <c r="E20" s="29"/>
      <c r="F20" s="42">
        <f t="shared" si="0"/>
        <v>0</v>
      </c>
      <c r="G20" s="14"/>
      <c r="H20" s="6"/>
    </row>
    <row r="21" spans="1:8" x14ac:dyDescent="0.25">
      <c r="A21" s="31" t="s">
        <v>457</v>
      </c>
      <c r="B21" s="29">
        <f>'Research Plan'!I7</f>
        <v>0</v>
      </c>
      <c r="C21" s="29">
        <f>'Research Plan'!Q7</f>
        <v>0</v>
      </c>
      <c r="D21" s="29">
        <f>'Research Plan'!Y7</f>
        <v>0</v>
      </c>
      <c r="E21" s="29"/>
      <c r="F21" s="42">
        <f t="shared" si="0"/>
        <v>0</v>
      </c>
      <c r="G21" s="14"/>
      <c r="H21" s="6"/>
    </row>
    <row r="22" spans="1:8" x14ac:dyDescent="0.25">
      <c r="A22" s="31" t="s">
        <v>493</v>
      </c>
      <c r="B22" s="29">
        <f>SUM('Research Plan'!I8:I14)</f>
        <v>0</v>
      </c>
      <c r="C22" s="29">
        <f>SUM('Research Plan'!Q8:Q14)</f>
        <v>0</v>
      </c>
      <c r="D22" s="29">
        <f>SUM('Research Plan'!Y8:Y14)</f>
        <v>0</v>
      </c>
      <c r="E22" s="73"/>
      <c r="F22" s="42">
        <f t="shared" si="0"/>
        <v>0</v>
      </c>
      <c r="G22" s="14"/>
      <c r="H22" s="6"/>
    </row>
    <row r="23" spans="1:8" ht="9" customHeight="1" x14ac:dyDescent="0.25">
      <c r="A23" s="49"/>
      <c r="B23" s="2"/>
      <c r="C23" s="2"/>
      <c r="D23" s="2"/>
      <c r="E23" s="2"/>
      <c r="F23" s="16"/>
      <c r="G23" s="14"/>
    </row>
    <row r="24" spans="1:8" x14ac:dyDescent="0.25">
      <c r="A24" s="234" t="s">
        <v>39</v>
      </c>
      <c r="B24" s="235">
        <f>SUM(B18:B22,B10)</f>
        <v>0</v>
      </c>
      <c r="C24" s="235">
        <f>SUM(C18:C22,C10)</f>
        <v>0</v>
      </c>
      <c r="D24" s="235">
        <f>SUM(D18:D22,D10)</f>
        <v>0</v>
      </c>
      <c r="E24" s="235">
        <f>SUM(E18:E22,E10)</f>
        <v>0</v>
      </c>
      <c r="F24" s="236">
        <f>SUM(F18:F22,F10)</f>
        <v>0</v>
      </c>
      <c r="G24" s="237"/>
    </row>
    <row r="25" spans="1:8" ht="9" customHeight="1" x14ac:dyDescent="0.25">
      <c r="A25" s="49"/>
      <c r="B25" s="4"/>
      <c r="C25" s="4"/>
      <c r="D25" s="4"/>
      <c r="E25" s="4"/>
      <c r="F25" s="18"/>
      <c r="G25" s="9"/>
    </row>
    <row r="26" spans="1:8" x14ac:dyDescent="0.25">
      <c r="A26" s="30" t="s">
        <v>38</v>
      </c>
      <c r="B26" s="4"/>
      <c r="C26" s="4"/>
      <c r="D26" s="4"/>
      <c r="E26" s="4"/>
      <c r="F26" s="18"/>
      <c r="G26" s="9"/>
    </row>
    <row r="27" spans="1:8" x14ac:dyDescent="0.25">
      <c r="A27" s="31" t="s">
        <v>30</v>
      </c>
      <c r="B27" s="13">
        <f>'YSM-YM Clinical Plan'!C47+'Research Plan'!I33</f>
        <v>0</v>
      </c>
      <c r="C27" s="13">
        <f>'YSM-YM Clinical Plan'!D47+'Research Plan'!Q33</f>
        <v>0</v>
      </c>
      <c r="D27" s="13">
        <f>'YSM-YM Clinical Plan'!E47+'Research Plan'!Y33</f>
        <v>0</v>
      </c>
      <c r="E27" s="13"/>
      <c r="F27" s="16">
        <f>SUM(B27:D27)</f>
        <v>0</v>
      </c>
      <c r="G27" s="11"/>
    </row>
    <row r="28" spans="1:8" ht="9" customHeight="1" x14ac:dyDescent="0.25">
      <c r="A28" s="51"/>
      <c r="B28" s="4"/>
      <c r="C28" s="4"/>
      <c r="D28" s="4"/>
      <c r="E28" s="4"/>
      <c r="F28" s="18"/>
      <c r="G28" s="9"/>
    </row>
    <row r="29" spans="1:8" ht="18.75" x14ac:dyDescent="0.25">
      <c r="A29" s="30" t="s">
        <v>207</v>
      </c>
      <c r="B29" s="4"/>
      <c r="C29" s="4"/>
      <c r="D29" s="4"/>
      <c r="E29" s="4"/>
      <c r="F29" s="18"/>
      <c r="G29" s="9"/>
    </row>
    <row r="30" spans="1:8" x14ac:dyDescent="0.25">
      <c r="A30" s="31" t="s">
        <v>32</v>
      </c>
      <c r="B30" s="4">
        <f>'YSM-YM Clinical Plan'!C51+'YSM-YM Clinical Plan'!C52+'Research Plan'!I18+'Research Plan'!I19</f>
        <v>0</v>
      </c>
      <c r="C30" s="4">
        <f>'YSM-YM Clinical Plan'!D51+'YSM-YM Clinical Plan'!D52+'Research Plan'!Q18+'Research Plan'!Q19</f>
        <v>0</v>
      </c>
      <c r="D30" s="4">
        <f>'YSM-YM Clinical Plan'!E51+'YSM-YM Clinical Plan'!E52+'Research Plan'!Y18+'Research Plan'!Y19</f>
        <v>0</v>
      </c>
      <c r="E30" s="4"/>
      <c r="F30" s="27">
        <f t="shared" ref="F30:F34" si="1">SUM(B30:D30)</f>
        <v>0</v>
      </c>
      <c r="G30" s="9"/>
    </row>
    <row r="31" spans="1:8" x14ac:dyDescent="0.25">
      <c r="A31" s="31" t="s">
        <v>602</v>
      </c>
      <c r="B31" s="4">
        <f>'YSM-YM Clinical Plan'!C53+'YSM-YM Clinical Plan'!C54+'Research Plan'!I24+'YSM-YM Clinical Plan'!C55</f>
        <v>0</v>
      </c>
      <c r="C31" s="4">
        <f>'YSM-YM Clinical Plan'!D53+'YSM-YM Clinical Plan'!D54+'Research Plan'!Q24+'YSM-YM Clinical Plan'!D55</f>
        <v>0</v>
      </c>
      <c r="D31" s="4">
        <f>'YSM-YM Clinical Plan'!E53+'YSM-YM Clinical Plan'!E54+'Research Plan'!Y24+'YSM-YM Clinical Plan'!E55</f>
        <v>0</v>
      </c>
      <c r="E31" s="4"/>
      <c r="F31" s="27">
        <f t="shared" si="1"/>
        <v>0</v>
      </c>
      <c r="G31" s="9"/>
    </row>
    <row r="32" spans="1:8" x14ac:dyDescent="0.25">
      <c r="A32" s="31" t="s">
        <v>34</v>
      </c>
      <c r="B32" s="4">
        <f>'YSM-YM Clinical Plan'!C56+'Research Plan'!I21+'Research Plan'!I25</f>
        <v>0</v>
      </c>
      <c r="C32" s="4">
        <f>'YSM-YM Clinical Plan'!D56+'Research Plan'!Q21+'Research Plan'!Q25</f>
        <v>0</v>
      </c>
      <c r="D32" s="4">
        <f>'YSM-YM Clinical Plan'!E56+'Research Plan'!Y21+'Research Plan'!Y25</f>
        <v>0</v>
      </c>
      <c r="E32" s="4"/>
      <c r="F32" s="27">
        <f t="shared" si="1"/>
        <v>0</v>
      </c>
      <c r="G32" s="9"/>
      <c r="H32" s="68"/>
    </row>
    <row r="33" spans="1:11" x14ac:dyDescent="0.25">
      <c r="A33" s="31" t="s">
        <v>425</v>
      </c>
      <c r="B33" s="4">
        <f>'Research Plan'!I34</f>
        <v>0</v>
      </c>
      <c r="C33" s="4">
        <f>'Research Plan'!Q34</f>
        <v>0</v>
      </c>
      <c r="D33" s="4">
        <f>'Research Plan'!Y34</f>
        <v>0</v>
      </c>
      <c r="E33" s="4"/>
      <c r="F33" s="27">
        <f t="shared" si="1"/>
        <v>0</v>
      </c>
      <c r="G33" s="9"/>
      <c r="H33" s="68"/>
    </row>
    <row r="34" spans="1:11" ht="18" x14ac:dyDescent="0.4">
      <c r="A34" s="31" t="s">
        <v>459</v>
      </c>
      <c r="B34" s="59">
        <f>SUM('YSM-YM Clinical Plan'!C57:C60)+SUM('Research Plan'!I26:I27)</f>
        <v>0</v>
      </c>
      <c r="C34" s="59">
        <f>SUM('YSM-YM Clinical Plan'!D57:D60)+SUM('Research Plan'!Q26:Q27)</f>
        <v>0</v>
      </c>
      <c r="D34" s="59">
        <f>SUM('YSM-YM Clinical Plan'!E57:E60)+SUM('Research Plan'!Y26:Y27)</f>
        <v>0</v>
      </c>
      <c r="E34" s="87"/>
      <c r="F34" s="45">
        <f t="shared" si="1"/>
        <v>0</v>
      </c>
      <c r="G34" s="10"/>
      <c r="H34" s="68"/>
    </row>
    <row r="35" spans="1:11" x14ac:dyDescent="0.25">
      <c r="A35" s="32" t="s">
        <v>210</v>
      </c>
      <c r="B35" s="13">
        <f>SUM(B30:B34)</f>
        <v>0</v>
      </c>
      <c r="C35" s="13">
        <f>SUM(C30:C34)</f>
        <v>0</v>
      </c>
      <c r="D35" s="13">
        <f>SUM(D30:D34)</f>
        <v>0</v>
      </c>
      <c r="E35" s="13"/>
      <c r="F35" s="16">
        <f>SUM(F30:F34)</f>
        <v>0</v>
      </c>
      <c r="G35" s="11"/>
      <c r="H35" s="6"/>
    </row>
    <row r="36" spans="1:11" ht="9" customHeight="1" x14ac:dyDescent="0.25">
      <c r="A36" s="31"/>
      <c r="B36" s="50"/>
      <c r="C36" s="50"/>
      <c r="D36" s="50"/>
      <c r="E36" s="50"/>
      <c r="F36" s="18"/>
      <c r="G36" s="11"/>
      <c r="H36" s="67"/>
    </row>
    <row r="37" spans="1:11" x14ac:dyDescent="0.25">
      <c r="A37" s="238" t="s">
        <v>40</v>
      </c>
      <c r="B37" s="239">
        <f t="shared" ref="B37:G37" si="2">B24-B35</f>
        <v>0</v>
      </c>
      <c r="C37" s="239">
        <f t="shared" si="2"/>
        <v>0</v>
      </c>
      <c r="D37" s="239">
        <f t="shared" si="2"/>
        <v>0</v>
      </c>
      <c r="E37" s="239">
        <f t="shared" si="2"/>
        <v>0</v>
      </c>
      <c r="F37" s="240">
        <f t="shared" si="2"/>
        <v>0</v>
      </c>
      <c r="G37" s="241">
        <f t="shared" si="2"/>
        <v>0</v>
      </c>
    </row>
    <row r="38" spans="1:11" x14ac:dyDescent="0.25">
      <c r="A38" s="3" t="s">
        <v>59</v>
      </c>
      <c r="B38" s="3">
        <f>IFERROR(IF(B37=0,0,B37/B24),0)</f>
        <v>0</v>
      </c>
      <c r="C38" s="3">
        <f>IFERROR(IF(C37=0,0,C37/C24),0)</f>
        <v>0</v>
      </c>
      <c r="D38" s="3">
        <f>IFERROR(IF(D37=0,0,D37/D24),0)</f>
        <v>0</v>
      </c>
      <c r="E38" s="3">
        <f>IF(E37=0,0,E37/E24)</f>
        <v>0</v>
      </c>
      <c r="F38" s="19">
        <f>IFERROR(IF(F37=0,0,F37/F24),0)</f>
        <v>0</v>
      </c>
      <c r="G38" s="39"/>
    </row>
    <row r="39" spans="1:11" ht="9" customHeight="1" x14ac:dyDescent="0.25">
      <c r="A39" s="31"/>
      <c r="B39" s="3"/>
      <c r="C39" s="3"/>
      <c r="D39" s="3"/>
      <c r="E39" s="3"/>
      <c r="F39" s="19"/>
      <c r="G39" s="39"/>
    </row>
    <row r="40" spans="1:11" x14ac:dyDescent="0.25">
      <c r="A40" s="234" t="s">
        <v>41</v>
      </c>
      <c r="B40" s="235">
        <f>B27+B35</f>
        <v>0</v>
      </c>
      <c r="C40" s="235">
        <f>C27+C35</f>
        <v>0</v>
      </c>
      <c r="D40" s="235">
        <f>D27+D35</f>
        <v>0</v>
      </c>
      <c r="E40" s="235"/>
      <c r="F40" s="236">
        <f>F27+F35</f>
        <v>0</v>
      </c>
      <c r="G40" s="237">
        <f>G27+G35</f>
        <v>0</v>
      </c>
    </row>
    <row r="41" spans="1:11" ht="9" customHeight="1" x14ac:dyDescent="0.25">
      <c r="A41" s="49"/>
      <c r="B41" s="4"/>
      <c r="C41" s="4"/>
      <c r="D41" s="4"/>
      <c r="E41" s="4"/>
      <c r="F41" s="18"/>
      <c r="G41" s="9"/>
    </row>
    <row r="42" spans="1:11" x14ac:dyDescent="0.25">
      <c r="A42" s="238" t="s">
        <v>460</v>
      </c>
      <c r="B42" s="239">
        <f>B24-B40</f>
        <v>0</v>
      </c>
      <c r="C42" s="239">
        <f>C24-C40</f>
        <v>0</v>
      </c>
      <c r="D42" s="239">
        <f>D24-D40</f>
        <v>0</v>
      </c>
      <c r="E42" s="239">
        <f>E24-E40</f>
        <v>0</v>
      </c>
      <c r="F42" s="240">
        <f>F24-F40</f>
        <v>0</v>
      </c>
      <c r="G42" s="241"/>
      <c r="H42" s="6"/>
    </row>
    <row r="43" spans="1:11" s="6" customFormat="1" x14ac:dyDescent="0.25">
      <c r="A43" s="3" t="s">
        <v>60</v>
      </c>
      <c r="B43" s="3">
        <f>IFERROR(IF(B42=0,0,B42/B24),0)</f>
        <v>0</v>
      </c>
      <c r="C43" s="3">
        <f>IFERROR(IF(C42=0,0,C42/C24),0)</f>
        <v>0</v>
      </c>
      <c r="D43" s="3">
        <f>IFERROR(IF(D42=0,0,D42/D24),0)</f>
        <v>0</v>
      </c>
      <c r="E43" s="3">
        <f>IF(E42=0,0,E42/E24)</f>
        <v>0</v>
      </c>
      <c r="F43" s="19">
        <f>IFERROR(IF(F42=0,0,F42/F24),0)</f>
        <v>0</v>
      </c>
      <c r="G43" s="39"/>
      <c r="H43" s="5"/>
    </row>
    <row r="44" spans="1:11" ht="9" customHeight="1" x14ac:dyDescent="0.25">
      <c r="A44" s="49"/>
      <c r="B44" s="4"/>
      <c r="C44" s="4"/>
      <c r="D44" s="4"/>
      <c r="E44" s="4"/>
      <c r="F44" s="18"/>
      <c r="G44" s="9"/>
    </row>
    <row r="45" spans="1:11" x14ac:dyDescent="0.25">
      <c r="A45" s="31" t="s">
        <v>603</v>
      </c>
      <c r="B45" s="29">
        <f>'YSM-YM Clinical Plan'!C79+'YSM-YM Clinical Plan'!C80</f>
        <v>0</v>
      </c>
      <c r="C45" s="29">
        <f>'YSM-YM Clinical Plan'!D79+'YSM-YM Clinical Plan'!D80</f>
        <v>0</v>
      </c>
      <c r="D45" s="29">
        <f>'YSM-YM Clinical Plan'!E79+'YSM-YM Clinical Plan'!E80</f>
        <v>0</v>
      </c>
      <c r="E45" s="21">
        <f>E18</f>
        <v>0</v>
      </c>
      <c r="F45" s="28">
        <f>SUM(B45:E45)</f>
        <v>0</v>
      </c>
      <c r="G45" s="40"/>
      <c r="I45" s="63"/>
    </row>
    <row r="46" spans="1:11" s="62" customFormat="1" hidden="1" x14ac:dyDescent="0.25">
      <c r="A46" s="44"/>
      <c r="B46" s="24" t="e">
        <f>(SUMIF('Salary Build Sheet (Clinical)'!$C$19:$C$23,"YNHH Not Metric-Based",'Salary Build Sheet (Clinical)'!$H$19:$H$23))/12*(VLOOKUP(#REF!,Depository1!$M$5:$N$21,2,0))</f>
        <v>#REF!</v>
      </c>
      <c r="C46" s="24" t="e">
        <f>(SUMIF('Salary Build Sheet (Clinical)'!$C$19:$C$23,"YNHH Not Metric-Based",'Salary Build Sheet (Clinical)'!$H$19:$H$23))/12*(VLOOKUP(#REF!,Depository1!$M$5:$N$21,2,0))</f>
        <v>#REF!</v>
      </c>
      <c r="D46" s="24" t="e">
        <f>(SUMIF('Salary Build Sheet (Clinical)'!$C$19:$C$23,"YNHH Not Metric-Based",'Salary Build Sheet (Clinical)'!$H$19:$H$23))/12*(VLOOKUP(#REF!,Depository1!$M$5:$N$21,2,0))</f>
        <v>#REF!</v>
      </c>
      <c r="E46" s="60"/>
      <c r="F46" s="22"/>
      <c r="G46" s="61"/>
      <c r="H46" s="5"/>
      <c r="I46" s="66"/>
      <c r="J46" s="65"/>
      <c r="K46" s="66"/>
    </row>
    <row r="47" spans="1:11" x14ac:dyDescent="0.25">
      <c r="A47" s="32" t="s">
        <v>604</v>
      </c>
      <c r="B47" s="29">
        <f>'YSM-YM Clinical Plan'!C82</f>
        <v>0</v>
      </c>
      <c r="C47" s="29">
        <f>'YSM-YM Clinical Plan'!D82</f>
        <v>0</v>
      </c>
      <c r="D47" s="29">
        <f>'YSM-YM Clinical Plan'!E82</f>
        <v>0</v>
      </c>
      <c r="F47" s="102">
        <f>SUM(B47:E47)</f>
        <v>0</v>
      </c>
    </row>
    <row r="48" spans="1:11" x14ac:dyDescent="0.25">
      <c r="F48" s="52"/>
    </row>
    <row r="49" spans="2:6" ht="16.5" thickBot="1" x14ac:dyDescent="0.3">
      <c r="F49" s="88"/>
    </row>
    <row r="51" spans="2:6" x14ac:dyDescent="0.25">
      <c r="B51" s="223"/>
      <c r="C51" s="223"/>
      <c r="D51" s="223"/>
    </row>
  </sheetData>
  <sheetProtection algorithmName="SHA-512" hashValue="XracpEQ4e14BbdTzdK01/KTtKdOxioowuA7YiG/6ISyWnATGDiywsactf6NzOLgOUKs4hhlD9UADStLggJObEQ==" saltValue="XkJYT1fZU++TSVCq7/4UgQ==" spinCount="100000" sheet="1" formatCells="0" autoFilter="0"/>
  <printOptions horizontalCentered="1"/>
  <pageMargins left="0.25" right="0" top="0.5" bottom="0.5" header="0.3" footer="0.3"/>
  <pageSetup scale="74" orientation="portrait" r:id="rId1"/>
  <headerFooter>
    <oddFooter>&amp;L&amp;F &amp;R&amp;D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002060"/>
    <pageSetUpPr fitToPage="1"/>
  </sheetPr>
  <dimension ref="A1:L98"/>
  <sheetViews>
    <sheetView showGridLines="0" tabSelected="1" zoomScaleNormal="100" workbookViewId="0">
      <pane ySplit="11" topLeftCell="A12" activePane="bottomLeft" state="frozen"/>
      <selection activeCell="A63" sqref="A63:E64"/>
      <selection pane="bottomLeft" activeCell="H25" sqref="H25"/>
    </sheetView>
  </sheetViews>
  <sheetFormatPr defaultColWidth="9.28515625" defaultRowHeight="15.75" x14ac:dyDescent="0.25"/>
  <cols>
    <col min="1" max="1" width="53.42578125" style="260" customWidth="1"/>
    <col min="2" max="2" width="10.85546875" style="260" bestFit="1" customWidth="1"/>
    <col min="3" max="5" width="17.140625" style="5" customWidth="1"/>
    <col min="6" max="6" width="0.85546875" style="5" customWidth="1"/>
    <col min="7" max="7" width="17.140625" style="5" customWidth="1"/>
    <col min="8" max="8" width="0.85546875" style="5" customWidth="1"/>
    <col min="9" max="9" width="19.28515625" style="5" customWidth="1"/>
    <col min="10" max="10" width="12.5703125" style="5" bestFit="1" customWidth="1"/>
    <col min="11" max="11" width="11.5703125" style="5" bestFit="1" customWidth="1"/>
    <col min="12" max="16384" width="9.28515625" style="5"/>
  </cols>
  <sheetData>
    <row r="1" spans="1:9" s="6" customFormat="1" x14ac:dyDescent="0.25">
      <c r="C1" s="33"/>
      <c r="D1" s="33"/>
      <c r="E1" s="33"/>
      <c r="F1" s="33"/>
      <c r="G1" s="33"/>
      <c r="H1" s="33"/>
    </row>
    <row r="2" spans="1:9" s="7" customFormat="1" ht="18.75" x14ac:dyDescent="0.3">
      <c r="A2" s="253"/>
      <c r="B2" s="253"/>
      <c r="C2" s="74"/>
      <c r="D2" s="74"/>
    </row>
    <row r="3" spans="1:9" s="7" customFormat="1" x14ac:dyDescent="0.25">
      <c r="A3" s="254"/>
      <c r="B3" s="254"/>
      <c r="C3" s="74" t="s">
        <v>142</v>
      </c>
      <c r="D3" s="74"/>
      <c r="E3" s="74"/>
      <c r="F3" s="74"/>
      <c r="G3" s="255" t="s">
        <v>654</v>
      </c>
      <c r="H3" s="74"/>
    </row>
    <row r="4" spans="1:9" s="7" customFormat="1" x14ac:dyDescent="0.25">
      <c r="A4" s="254"/>
      <c r="B4" s="254"/>
      <c r="C4" s="74" t="s">
        <v>141</v>
      </c>
      <c r="D4" s="74"/>
      <c r="E4" s="74"/>
      <c r="F4" s="74"/>
      <c r="G4" s="74"/>
      <c r="H4" s="74"/>
    </row>
    <row r="5" spans="1:9" s="7" customFormat="1" x14ac:dyDescent="0.25">
      <c r="A5" s="254"/>
      <c r="B5" s="254"/>
      <c r="C5" s="74" t="s">
        <v>205</v>
      </c>
      <c r="D5" s="74"/>
      <c r="E5" s="74"/>
      <c r="F5" s="74"/>
      <c r="G5" s="74"/>
      <c r="H5" s="74"/>
    </row>
    <row r="6" spans="1:9" s="7" customFormat="1" x14ac:dyDescent="0.25">
      <c r="A6" s="254"/>
      <c r="B6" s="254"/>
      <c r="C6" s="74" t="s">
        <v>206</v>
      </c>
      <c r="D6" s="74"/>
      <c r="E6" s="74"/>
      <c r="F6" s="74"/>
      <c r="G6" s="74"/>
      <c r="H6" s="74"/>
    </row>
    <row r="7" spans="1:9" s="7" customFormat="1" ht="5.25" customHeight="1" x14ac:dyDescent="0.25">
      <c r="A7" s="74"/>
      <c r="B7" s="74"/>
      <c r="C7" s="74"/>
      <c r="D7" s="74"/>
      <c r="E7" s="74"/>
      <c r="F7" s="74"/>
      <c r="G7" s="74"/>
      <c r="H7" s="74"/>
    </row>
    <row r="8" spans="1:9" s="7" customFormat="1" x14ac:dyDescent="0.25">
      <c r="A8" s="256" t="s">
        <v>483</v>
      </c>
      <c r="B8" s="257" t="s">
        <v>194</v>
      </c>
      <c r="C8" s="257" t="s">
        <v>626</v>
      </c>
      <c r="D8" s="257" t="s">
        <v>627</v>
      </c>
      <c r="E8" s="257" t="s">
        <v>627</v>
      </c>
      <c r="F8" s="74"/>
      <c r="G8" s="258" t="s">
        <v>623</v>
      </c>
      <c r="H8" s="74"/>
    </row>
    <row r="9" spans="1:9" s="7" customFormat="1" ht="16.5" thickBot="1" x14ac:dyDescent="0.3">
      <c r="A9" s="74" t="s">
        <v>484</v>
      </c>
      <c r="B9" s="259" t="s">
        <v>0</v>
      </c>
      <c r="D9" s="74"/>
      <c r="E9" s="74"/>
      <c r="F9" s="74"/>
      <c r="G9" s="74"/>
      <c r="H9" s="74"/>
    </row>
    <row r="10" spans="1:9" s="6" customFormat="1" ht="5.25" customHeight="1" x14ac:dyDescent="0.25">
      <c r="A10" s="613"/>
      <c r="B10" s="613"/>
      <c r="D10" s="260"/>
      <c r="E10" s="260"/>
      <c r="F10" s="260"/>
      <c r="G10" s="611" t="s">
        <v>628</v>
      </c>
      <c r="H10" s="261"/>
    </row>
    <row r="11" spans="1:9" s="8" customFormat="1" ht="16.5" thickBot="1" x14ac:dyDescent="0.3">
      <c r="A11" s="74"/>
      <c r="B11" s="260" t="s">
        <v>27</v>
      </c>
      <c r="C11" s="262" t="s">
        <v>23</v>
      </c>
      <c r="D11" s="262" t="s">
        <v>24</v>
      </c>
      <c r="E11" s="262" t="s">
        <v>25</v>
      </c>
      <c r="F11" s="262"/>
      <c r="G11" s="612"/>
      <c r="H11" s="263"/>
      <c r="I11" s="48" t="s">
        <v>196</v>
      </c>
    </row>
    <row r="12" spans="1:9" ht="3" customHeight="1" thickTop="1" x14ac:dyDescent="0.25">
      <c r="A12" s="74"/>
      <c r="B12" s="74"/>
      <c r="G12" s="52"/>
    </row>
    <row r="13" spans="1:9" x14ac:dyDescent="0.25">
      <c r="A13" s="264" t="s">
        <v>64</v>
      </c>
      <c r="B13" s="265" t="s">
        <v>65</v>
      </c>
      <c r="C13" s="266"/>
      <c r="D13" s="266"/>
      <c r="E13" s="266"/>
      <c r="F13" s="267"/>
      <c r="G13" s="55">
        <f>SUM(C13:E13)</f>
        <v>0</v>
      </c>
      <c r="H13" s="35"/>
    </row>
    <row r="14" spans="1:9" ht="15" customHeight="1" x14ac:dyDescent="0.25">
      <c r="A14" s="264" t="s">
        <v>147</v>
      </c>
      <c r="B14" s="268"/>
      <c r="C14" s="269"/>
      <c r="D14" s="269"/>
      <c r="E14" s="269"/>
      <c r="F14" s="270">
        <v>1</v>
      </c>
      <c r="G14" s="41">
        <f>SUM(C14:F14)</f>
        <v>1</v>
      </c>
      <c r="H14" s="12"/>
      <c r="I14" s="67"/>
    </row>
    <row r="15" spans="1:9" x14ac:dyDescent="0.25">
      <c r="A15" s="264" t="s">
        <v>77</v>
      </c>
      <c r="B15" s="268"/>
      <c r="C15" s="269"/>
      <c r="D15" s="269"/>
      <c r="E15" s="269"/>
      <c r="F15" s="270"/>
      <c r="G15" s="41">
        <f>SUM(C15:F15)</f>
        <v>0</v>
      </c>
      <c r="H15" s="12"/>
      <c r="I15" s="67"/>
    </row>
    <row r="16" spans="1:9" x14ac:dyDescent="0.25">
      <c r="A16" s="264" t="s">
        <v>211</v>
      </c>
      <c r="B16" s="268"/>
      <c r="C16" s="271"/>
      <c r="D16" s="271"/>
      <c r="E16" s="271"/>
      <c r="F16" s="272"/>
      <c r="G16" s="53">
        <f>SUM(C16:E16)</f>
        <v>0</v>
      </c>
      <c r="H16" s="12"/>
    </row>
    <row r="17" spans="1:9" x14ac:dyDescent="0.25">
      <c r="A17" s="264" t="s">
        <v>424</v>
      </c>
      <c r="B17" s="268"/>
      <c r="C17" s="54">
        <f>MAX(IF(C16&gt;0,(C16-C16/(VLOOKUP($B$9,Depository1!$M$5:$N$21,2,0))*Assumptions!$D$17),0),0)</f>
        <v>0</v>
      </c>
      <c r="D17" s="54">
        <f>D16*(12-Assumptions!$D$17)/12+(C16-C17)</f>
        <v>0</v>
      </c>
      <c r="E17" s="54">
        <f>(E16*(12-Assumptions!$D$17)+D16*Assumptions!$D$17)/12</f>
        <v>0</v>
      </c>
      <c r="F17" s="273"/>
      <c r="G17" s="53">
        <f>SUM(C17:E17)</f>
        <v>0</v>
      </c>
      <c r="H17" s="14"/>
      <c r="I17" s="274"/>
    </row>
    <row r="18" spans="1:9" ht="5.25" customHeight="1" x14ac:dyDescent="0.25">
      <c r="A18" s="264"/>
      <c r="B18" s="268"/>
      <c r="C18" s="273"/>
      <c r="D18" s="273"/>
      <c r="E18" s="273"/>
      <c r="F18" s="273"/>
      <c r="G18" s="15"/>
      <c r="H18" s="35"/>
    </row>
    <row r="19" spans="1:9" x14ac:dyDescent="0.25">
      <c r="A19" s="43" t="s">
        <v>153</v>
      </c>
      <c r="B19" s="275"/>
      <c r="C19" s="2"/>
      <c r="D19" s="2"/>
      <c r="E19" s="2"/>
      <c r="F19" s="2"/>
      <c r="G19" s="15"/>
      <c r="H19" s="35"/>
    </row>
    <row r="20" spans="1:9" x14ac:dyDescent="0.25">
      <c r="A20" s="44" t="s">
        <v>72</v>
      </c>
      <c r="B20" s="276"/>
      <c r="C20" s="23" t="str">
        <f>IFERROR(IF(C17&gt;0,C17/C13," "),0)</f>
        <v xml:space="preserve"> </v>
      </c>
      <c r="D20" s="23" t="str">
        <f>IFERROR(IF(D17&gt;0,D17/D13," "),0)</f>
        <v xml:space="preserve"> </v>
      </c>
      <c r="E20" s="23" t="str">
        <f>IFERROR(IF(E17&gt;0,E17/E13," "),0)</f>
        <v xml:space="preserve"> </v>
      </c>
      <c r="F20" s="23"/>
      <c r="G20" s="17" t="str">
        <f>IFERROR(IF(G17&gt;0,G17/G13," "),0)</f>
        <v xml:space="preserve"> </v>
      </c>
      <c r="H20" s="38"/>
    </row>
    <row r="21" spans="1:9" ht="5.25" customHeight="1" x14ac:dyDescent="0.25">
      <c r="A21" s="277"/>
      <c r="B21" s="277"/>
      <c r="C21" s="273"/>
      <c r="D21" s="273"/>
      <c r="E21" s="273"/>
      <c r="F21" s="273"/>
      <c r="G21" s="16"/>
      <c r="H21" s="14"/>
    </row>
    <row r="22" spans="1:9" x14ac:dyDescent="0.25">
      <c r="A22" s="278" t="s">
        <v>37</v>
      </c>
      <c r="B22" s="268"/>
      <c r="C22" s="273"/>
      <c r="D22" s="273"/>
      <c r="E22" s="273"/>
      <c r="F22" s="273"/>
      <c r="G22" s="16"/>
      <c r="H22" s="14"/>
      <c r="I22" s="6"/>
    </row>
    <row r="23" spans="1:9" x14ac:dyDescent="0.25">
      <c r="A23" s="264" t="s">
        <v>407</v>
      </c>
      <c r="B23" s="264"/>
      <c r="C23" s="29">
        <f>'Salary Build Sheet (Clinical)'!S48</f>
        <v>0</v>
      </c>
      <c r="D23" s="29">
        <f>'Salary Build Sheet (Clinical)'!AG48</f>
        <v>0</v>
      </c>
      <c r="E23" s="29">
        <f>'Salary Build Sheet (Clinical)'!AU48</f>
        <v>0</v>
      </c>
      <c r="F23" s="29"/>
      <c r="G23" s="42">
        <f>SUM(C23:E23)</f>
        <v>0</v>
      </c>
      <c r="H23" s="14"/>
      <c r="I23" s="6"/>
    </row>
    <row r="24" spans="1:9" x14ac:dyDescent="0.25">
      <c r="A24" s="264" t="s">
        <v>408</v>
      </c>
      <c r="B24" s="264"/>
      <c r="C24" s="29">
        <f>((SUMIF('Salary Build Sheet (Clinical)'!$C$19:$C$23,"YNHH Metric-Based",'Salary Build Sheet (Clinical)'!$K$19:$K$23)+SUMIF('Salary Build Sheet (Clinical)'!$C$19:$C$23,"YNHH Not Metric-Based",'Salary Build Sheet (Clinical)'!$K$19:$K$23))/12)*(VLOOKUP($B$9,Depository1!$M$5:$N$21,2,0))</f>
        <v>0</v>
      </c>
      <c r="D24" s="29">
        <f>(SUMIF('Salary Build Sheet (Clinical)'!$C$19:$C$23,"YNHH Metric-Based",'Salary Build Sheet (Clinical)'!$Y$19:$Y$23)+SUMIF('Salary Build Sheet (Clinical)'!$C$19:$C$23,"YNHH Not Metric-Based",'Salary Build Sheet (Clinical)'!$Y$19:$Y$23))</f>
        <v>0</v>
      </c>
      <c r="E24" s="29">
        <f>(SUMIF('Salary Build Sheet (Clinical)'!$C$19:$C$23,"YNHH Metric-Based",'Salary Build Sheet (Clinical)'!$AM$19:$AM$23)+SUMIF('Salary Build Sheet (Clinical)'!$C$19:$C$23,"YNHH Not Metric-Based",'Salary Build Sheet (Clinical)'!$AM$19:$AM$23))</f>
        <v>0</v>
      </c>
      <c r="F24" s="29"/>
      <c r="G24" s="42">
        <f>SUM(C24:E24)</f>
        <v>0</v>
      </c>
      <c r="H24" s="14"/>
      <c r="I24" s="6"/>
    </row>
    <row r="25" spans="1:9" x14ac:dyDescent="0.25">
      <c r="A25" s="264" t="s">
        <v>422</v>
      </c>
      <c r="B25" s="264"/>
      <c r="C25" s="279">
        <v>0</v>
      </c>
      <c r="D25" s="279">
        <v>0</v>
      </c>
      <c r="E25" s="279">
        <v>0</v>
      </c>
      <c r="F25" s="279"/>
      <c r="G25" s="42">
        <f>SUM(C25:E25)</f>
        <v>0</v>
      </c>
      <c r="H25" s="14"/>
      <c r="I25" s="6"/>
    </row>
    <row r="26" spans="1:9" x14ac:dyDescent="0.25">
      <c r="A26" s="31" t="s">
        <v>635</v>
      </c>
      <c r="B26" s="264"/>
      <c r="C26" s="279">
        <v>0</v>
      </c>
      <c r="D26" s="279">
        <v>0</v>
      </c>
      <c r="E26" s="279">
        <v>0</v>
      </c>
      <c r="F26" s="279"/>
      <c r="G26" s="42">
        <f t="shared" ref="G26:G30" si="0">SUM(C26:E26)</f>
        <v>0</v>
      </c>
      <c r="H26" s="14"/>
    </row>
    <row r="27" spans="1:9" x14ac:dyDescent="0.25">
      <c r="A27" s="264" t="s">
        <v>148</v>
      </c>
      <c r="B27" s="264"/>
      <c r="C27" s="279">
        <v>0</v>
      </c>
      <c r="D27" s="279">
        <v>0</v>
      </c>
      <c r="E27" s="279">
        <v>0</v>
      </c>
      <c r="F27" s="279"/>
      <c r="G27" s="42">
        <f t="shared" si="0"/>
        <v>0</v>
      </c>
      <c r="H27" s="14"/>
    </row>
    <row r="28" spans="1:9" x14ac:dyDescent="0.25">
      <c r="A28" s="264" t="s">
        <v>445</v>
      </c>
      <c r="B28" s="264"/>
      <c r="C28" s="279">
        <v>0</v>
      </c>
      <c r="D28" s="279">
        <v>0</v>
      </c>
      <c r="E28" s="279">
        <v>0</v>
      </c>
      <c r="F28" s="279"/>
      <c r="G28" s="42">
        <f t="shared" si="0"/>
        <v>0</v>
      </c>
      <c r="H28" s="14"/>
    </row>
    <row r="29" spans="1:9" x14ac:dyDescent="0.25">
      <c r="A29" s="264" t="s">
        <v>214</v>
      </c>
      <c r="B29" s="264"/>
      <c r="C29" s="279">
        <v>0</v>
      </c>
      <c r="D29" s="279">
        <v>0</v>
      </c>
      <c r="E29" s="279">
        <v>0</v>
      </c>
      <c r="F29" s="279"/>
      <c r="G29" s="42">
        <f t="shared" si="0"/>
        <v>0</v>
      </c>
      <c r="H29" s="14"/>
    </row>
    <row r="30" spans="1:9" x14ac:dyDescent="0.25">
      <c r="A30" s="264" t="s">
        <v>208</v>
      </c>
      <c r="B30" s="264"/>
      <c r="C30" s="279">
        <v>0</v>
      </c>
      <c r="D30" s="279">
        <v>0</v>
      </c>
      <c r="E30" s="279">
        <v>0</v>
      </c>
      <c r="F30" s="279"/>
      <c r="G30" s="42">
        <f t="shared" si="0"/>
        <v>0</v>
      </c>
      <c r="H30" s="14"/>
    </row>
    <row r="31" spans="1:9" ht="5.25" customHeight="1" x14ac:dyDescent="0.25">
      <c r="A31" s="74"/>
      <c r="B31" s="74"/>
      <c r="C31" s="273"/>
      <c r="D31" s="273"/>
      <c r="E31" s="273"/>
      <c r="F31" s="273"/>
      <c r="G31" s="16"/>
      <c r="H31" s="14"/>
    </row>
    <row r="32" spans="1:9" x14ac:dyDescent="0.25">
      <c r="A32" s="280" t="s">
        <v>39</v>
      </c>
      <c r="B32" s="280"/>
      <c r="C32" s="281">
        <f>SUM(C23:C30,C17)</f>
        <v>0</v>
      </c>
      <c r="D32" s="281">
        <f>SUM(D23:D30,D17)</f>
        <v>0</v>
      </c>
      <c r="E32" s="281">
        <f>SUM(E23:E30,E17)</f>
        <v>0</v>
      </c>
      <c r="F32" s="281">
        <f>SUM(F23:F30,F17)</f>
        <v>0</v>
      </c>
      <c r="G32" s="282">
        <f>SUM(G23:G30,G17)</f>
        <v>0</v>
      </c>
      <c r="H32" s="283"/>
    </row>
    <row r="33" spans="1:12" ht="5.25" customHeight="1" x14ac:dyDescent="0.25">
      <c r="A33" s="49"/>
      <c r="B33" s="49"/>
      <c r="C33" s="4"/>
      <c r="D33" s="4"/>
      <c r="E33" s="4"/>
      <c r="F33" s="4"/>
      <c r="G33" s="18"/>
      <c r="H33" s="9"/>
    </row>
    <row r="34" spans="1:12" x14ac:dyDescent="0.25">
      <c r="A34" s="30" t="s">
        <v>38</v>
      </c>
      <c r="B34" s="275"/>
      <c r="C34" s="4"/>
      <c r="D34" s="4"/>
      <c r="E34" s="4"/>
      <c r="F34" s="4"/>
      <c r="G34" s="18"/>
      <c r="H34" s="9"/>
    </row>
    <row r="35" spans="1:12" x14ac:dyDescent="0.25">
      <c r="A35" s="31" t="s">
        <v>29</v>
      </c>
      <c r="B35" s="284">
        <v>7.7499999999999999E-2</v>
      </c>
      <c r="C35" s="285">
        <f>C$17*$B35</f>
        <v>0</v>
      </c>
      <c r="D35" s="285">
        <f>D$17*$B35</f>
        <v>0</v>
      </c>
      <c r="E35" s="285">
        <f>E$17*$B35</f>
        <v>0</v>
      </c>
      <c r="F35" s="286"/>
      <c r="G35" s="287">
        <f t="shared" ref="G35" si="1">SUM(C35:E35)</f>
        <v>0</v>
      </c>
      <c r="H35" s="9"/>
    </row>
    <row r="36" spans="1:12" x14ac:dyDescent="0.25">
      <c r="A36" s="31" t="s">
        <v>655</v>
      </c>
      <c r="B36" s="284">
        <v>0.11700000000000001</v>
      </c>
      <c r="C36" s="285">
        <f>(C$25/(1-B36))-C25</f>
        <v>0</v>
      </c>
      <c r="D36" s="285">
        <f>(D$25/(1-B36))-D25</f>
        <v>0</v>
      </c>
      <c r="E36" s="285">
        <f>(E$25/(1-B36))-E25</f>
        <v>0</v>
      </c>
      <c r="F36" s="286"/>
      <c r="G36" s="287">
        <f>SUM(C36:E36)</f>
        <v>0</v>
      </c>
      <c r="H36" s="11"/>
    </row>
    <row r="37" spans="1:12" x14ac:dyDescent="0.25">
      <c r="A37" s="31" t="s">
        <v>636</v>
      </c>
      <c r="B37" s="284">
        <v>0.15</v>
      </c>
      <c r="C37" s="285">
        <f>IF($A$3="Non-Affiliated PDDO",0,(C$26/(1-B37))-C26)</f>
        <v>0</v>
      </c>
      <c r="D37" s="285">
        <f>IF($A$3="Non-Affiliated PDDO",0,(D$26/(1-B37))-D26)</f>
        <v>0</v>
      </c>
      <c r="E37" s="285">
        <f>IF($A$3="Non-Affiliated PDDO",0,(E$26/(1-B37))-E26)</f>
        <v>0</v>
      </c>
      <c r="F37" s="286"/>
      <c r="G37" s="287"/>
      <c r="H37" s="11"/>
    </row>
    <row r="38" spans="1:12" x14ac:dyDescent="0.25">
      <c r="A38" s="31" t="s">
        <v>148</v>
      </c>
      <c r="B38" s="284">
        <v>0.12</v>
      </c>
      <c r="C38" s="285">
        <f>C$27*$B38</f>
        <v>0</v>
      </c>
      <c r="D38" s="285">
        <f>D$27*$B38</f>
        <v>0</v>
      </c>
      <c r="E38" s="285">
        <f>E$27*$B38</f>
        <v>0</v>
      </c>
      <c r="F38" s="285">
        <f>F$27*$B38</f>
        <v>0</v>
      </c>
      <c r="G38" s="287">
        <f>SUM(C38:E38)</f>
        <v>0</v>
      </c>
      <c r="H38" s="11"/>
    </row>
    <row r="39" spans="1:12" x14ac:dyDescent="0.25">
      <c r="A39" s="31" t="s">
        <v>443</v>
      </c>
      <c r="B39" s="284">
        <v>0.23080000000000001</v>
      </c>
      <c r="C39" s="285">
        <f>C$28*$B39</f>
        <v>0</v>
      </c>
      <c r="D39" s="285">
        <f>D$28*$B39</f>
        <v>0</v>
      </c>
      <c r="E39" s="285">
        <f>E$28*$B39</f>
        <v>0</v>
      </c>
      <c r="F39" s="285">
        <f t="shared" ref="F39" si="2">F$15*$B39</f>
        <v>0</v>
      </c>
      <c r="G39" s="287">
        <f>SUM(C39:E39)</f>
        <v>0</v>
      </c>
      <c r="H39" s="11"/>
      <c r="I39" s="288"/>
    </row>
    <row r="40" spans="1:12" x14ac:dyDescent="0.25">
      <c r="A40" s="31" t="s">
        <v>520</v>
      </c>
      <c r="B40" s="289">
        <v>0</v>
      </c>
      <c r="C40" s="290"/>
      <c r="D40" s="290">
        <f>D17*$B$40</f>
        <v>0</v>
      </c>
      <c r="E40" s="290">
        <f>E17*$B$40</f>
        <v>0</v>
      </c>
      <c r="F40" s="13"/>
      <c r="G40" s="287">
        <f>SUM(C40:E40)</f>
        <v>0</v>
      </c>
      <c r="H40" s="11"/>
      <c r="I40" s="288"/>
    </row>
    <row r="41" spans="1:12" x14ac:dyDescent="0.25">
      <c r="A41" s="31" t="s">
        <v>28</v>
      </c>
      <c r="B41" s="284">
        <v>0.05</v>
      </c>
      <c r="C41" s="285">
        <f>$B41*(C17)</f>
        <v>0</v>
      </c>
      <c r="D41" s="285">
        <f>$B41*(D17)</f>
        <v>0</v>
      </c>
      <c r="E41" s="285">
        <f>$B41*(E17)</f>
        <v>0</v>
      </c>
      <c r="F41" s="286"/>
      <c r="G41" s="287">
        <f t="shared" ref="G41" si="3">SUM(C41:E41)</f>
        <v>0</v>
      </c>
      <c r="H41" s="9"/>
      <c r="I41" s="288"/>
      <c r="L41" s="31"/>
    </row>
    <row r="42" spans="1:12" ht="15.75" customHeight="1" x14ac:dyDescent="0.25">
      <c r="A42" s="31" t="s">
        <v>495</v>
      </c>
      <c r="B42" s="284">
        <v>8.4599999999999995E-2</v>
      </c>
      <c r="C42" s="285">
        <f>C$17*$B42</f>
        <v>0</v>
      </c>
      <c r="D42" s="285">
        <f>D$17*$B42</f>
        <v>0</v>
      </c>
      <c r="E42" s="285">
        <f>E$17*$B42</f>
        <v>0</v>
      </c>
      <c r="F42" s="285"/>
      <c r="G42" s="291">
        <f>SUM(C42:E42)</f>
        <v>0</v>
      </c>
      <c r="H42" s="292"/>
      <c r="I42" s="288"/>
    </row>
    <row r="43" spans="1:12" x14ac:dyDescent="0.25">
      <c r="A43" s="32" t="s">
        <v>503</v>
      </c>
      <c r="B43" s="284"/>
      <c r="C43" s="13">
        <f>SUM(C35:C42)</f>
        <v>0</v>
      </c>
      <c r="D43" s="13">
        <f t="shared" ref="D43:E43" si="4">SUM(D35:D42)</f>
        <v>0</v>
      </c>
      <c r="E43" s="13">
        <f t="shared" si="4"/>
        <v>0</v>
      </c>
      <c r="F43" s="13">
        <f>SUM(F41:F42)</f>
        <v>0</v>
      </c>
      <c r="G43" s="16">
        <f>SUM(C43:E43)</f>
        <v>0</v>
      </c>
      <c r="H43" s="11"/>
    </row>
    <row r="44" spans="1:12" ht="5.25" customHeight="1" x14ac:dyDescent="0.25">
      <c r="A44" s="31"/>
      <c r="B44" s="284"/>
      <c r="C44" s="13"/>
      <c r="D44" s="13"/>
      <c r="E44" s="13"/>
      <c r="F44" s="13"/>
      <c r="G44" s="16"/>
      <c r="H44" s="11"/>
    </row>
    <row r="45" spans="1:12" x14ac:dyDescent="0.25">
      <c r="A45" s="31" t="s">
        <v>656</v>
      </c>
      <c r="B45" s="284">
        <f>Assumptions!D9+Assumptions!D10</f>
        <v>0.128</v>
      </c>
      <c r="C45" s="285">
        <f>('Salary Build Sheet (Clinical)'!N48/12)*VLOOKUP('YSM-YM Clinical Plan'!$B$9,Depository1!$M$5:$N$21,2,0)</f>
        <v>0</v>
      </c>
      <c r="D45" s="285">
        <f>'Salary Build Sheet (Clinical)'!AB48</f>
        <v>0</v>
      </c>
      <c r="E45" s="285">
        <f>'Salary Build Sheet (Clinical)'!AP48</f>
        <v>0</v>
      </c>
      <c r="F45" s="286"/>
      <c r="G45" s="287">
        <f>SUM(C45:E45)</f>
        <v>0</v>
      </c>
      <c r="H45" s="11"/>
    </row>
    <row r="46" spans="1:12" ht="15.6" hidden="1" customHeight="1" x14ac:dyDescent="0.25">
      <c r="A46" s="31" t="s">
        <v>75</v>
      </c>
      <c r="B46" s="293"/>
      <c r="C46" s="50">
        <f>C17*$B$46</f>
        <v>0</v>
      </c>
      <c r="D46" s="50">
        <f>D17*$B$46</f>
        <v>0</v>
      </c>
      <c r="E46" s="50">
        <f>E17*$B$46</f>
        <v>0</v>
      </c>
      <c r="F46" s="50"/>
      <c r="G46" s="18">
        <f>SUM(C46:E46)</f>
        <v>0</v>
      </c>
      <c r="H46" s="11"/>
    </row>
    <row r="47" spans="1:12" x14ac:dyDescent="0.25">
      <c r="A47" s="32" t="s">
        <v>30</v>
      </c>
      <c r="B47" s="284"/>
      <c r="C47" s="13">
        <f>C45+C43</f>
        <v>0</v>
      </c>
      <c r="D47" s="13">
        <f t="shared" ref="D47:E47" si="5">D45+D43</f>
        <v>0</v>
      </c>
      <c r="E47" s="13">
        <f t="shared" si="5"/>
        <v>0</v>
      </c>
      <c r="F47" s="13">
        <f t="shared" ref="F47" si="6">F45+F44</f>
        <v>0</v>
      </c>
      <c r="G47" s="16">
        <f>SUM(C47:E47)</f>
        <v>0</v>
      </c>
      <c r="H47" s="11"/>
    </row>
    <row r="48" spans="1:12" x14ac:dyDescent="0.25">
      <c r="A48" s="294" t="s">
        <v>31</v>
      </c>
      <c r="B48" s="284"/>
      <c r="C48" s="3" t="str">
        <f>IFERROR(IF(C47&gt;0,C47/C32," "),0)</f>
        <v xml:space="preserve"> </v>
      </c>
      <c r="D48" s="3" t="str">
        <f>IFERROR(IF(D47&gt;0,D47/D32," "),0)</f>
        <v xml:space="preserve"> </v>
      </c>
      <c r="E48" s="3" t="str">
        <f>IFERROR(IF(E47&gt;0,E47/E32," "),0)</f>
        <v xml:space="preserve"> </v>
      </c>
      <c r="F48" s="3"/>
      <c r="G48" s="19" t="str">
        <f>IFERROR(IF(G47&gt;0,G47/G32," "),0)</f>
        <v xml:space="preserve"> </v>
      </c>
      <c r="H48" s="39"/>
    </row>
    <row r="49" spans="1:11" ht="5.25" customHeight="1" x14ac:dyDescent="0.25">
      <c r="A49" s="277"/>
      <c r="B49" s="277"/>
      <c r="C49" s="9"/>
      <c r="D49" s="9"/>
      <c r="E49" s="9"/>
      <c r="F49" s="9"/>
      <c r="G49" s="18"/>
      <c r="H49" s="9"/>
    </row>
    <row r="50" spans="1:11" x14ac:dyDescent="0.25">
      <c r="A50" s="295" t="s">
        <v>662</v>
      </c>
      <c r="B50" s="268"/>
      <c r="C50" s="9"/>
      <c r="D50" s="9"/>
      <c r="E50" s="9"/>
      <c r="F50" s="9"/>
      <c r="G50" s="18"/>
      <c r="H50" s="9"/>
    </row>
    <row r="51" spans="1:11" x14ac:dyDescent="0.25">
      <c r="A51" s="264" t="s">
        <v>32</v>
      </c>
      <c r="B51" s="264"/>
      <c r="C51" s="296">
        <f>('Salary Build Sheet (Clinical)'!L17/12)*VLOOKUP('YSM-YM Clinical Plan'!$B$9,Depository1!$M$5:$N$21,2,0)</f>
        <v>0</v>
      </c>
      <c r="D51" s="4">
        <f>'Salary Build Sheet (Clinical)'!Z17</f>
        <v>0</v>
      </c>
      <c r="E51" s="4">
        <f>'Salary Build Sheet (Clinical)'!AN17</f>
        <v>0</v>
      </c>
      <c r="F51" s="9"/>
      <c r="G51" s="27">
        <f>SUM(C51:E51)</f>
        <v>0</v>
      </c>
      <c r="H51" s="9"/>
    </row>
    <row r="52" spans="1:11" x14ac:dyDescent="0.25">
      <c r="A52" s="264" t="s">
        <v>33</v>
      </c>
      <c r="B52" s="264"/>
      <c r="C52" s="4">
        <f>('Salary Build Sheet (Clinical)'!L24/12)*(VLOOKUP($B$9,Depository1!$M$5:$N$21,2,0))</f>
        <v>0</v>
      </c>
      <c r="D52" s="4">
        <f>'Salary Build Sheet (Clinical)'!Z24</f>
        <v>0</v>
      </c>
      <c r="E52" s="4">
        <f>'Salary Build Sheet (Clinical)'!AJ24</f>
        <v>0</v>
      </c>
      <c r="F52" s="9"/>
      <c r="G52" s="27">
        <f t="shared" ref="G52:G60" si="7">SUM(C52:E52)</f>
        <v>0</v>
      </c>
      <c r="H52" s="9"/>
      <c r="J52" s="57"/>
      <c r="K52" s="57"/>
    </row>
    <row r="53" spans="1:11" x14ac:dyDescent="0.25">
      <c r="A53" s="264" t="s">
        <v>156</v>
      </c>
      <c r="B53" s="264"/>
      <c r="C53" s="4">
        <f>('Salary Build Sheet (Clinical)'!L33/12)*(VLOOKUP($B$9,Depository1!$M$5:$N$21,2,0))</f>
        <v>0</v>
      </c>
      <c r="D53" s="4">
        <f>'Salary Build Sheet (Clinical)'!Z33</f>
        <v>0</v>
      </c>
      <c r="E53" s="4">
        <f>'Salary Build Sheet (Clinical)'!AN33</f>
        <v>0</v>
      </c>
      <c r="F53" s="9"/>
      <c r="G53" s="27">
        <f t="shared" si="7"/>
        <v>0</v>
      </c>
      <c r="H53" s="9"/>
    </row>
    <row r="54" spans="1:11" x14ac:dyDescent="0.25">
      <c r="A54" s="264" t="s">
        <v>157</v>
      </c>
      <c r="B54" s="264"/>
      <c r="C54" s="4">
        <f>('Salary Build Sheet (Clinical)'!L40/12)*(VLOOKUP($B$9,Depository1!$M$5:$N$21,2,0))+'Salary Build Sheet (Clinical)'!H46</f>
        <v>0</v>
      </c>
      <c r="D54" s="4">
        <f>'Salary Build Sheet (Clinical)'!Z40+'Salary Build Sheet (Clinical)'!Z46</f>
        <v>0</v>
      </c>
      <c r="E54" s="4">
        <f>'Salary Build Sheet (Clinical)'!AN40+'Salary Build Sheet (Clinical)'!AN46</f>
        <v>0</v>
      </c>
      <c r="F54" s="9"/>
      <c r="G54" s="27">
        <f>SUM(C54:E54)</f>
        <v>0</v>
      </c>
      <c r="H54" s="9"/>
    </row>
    <row r="55" spans="1:11" x14ac:dyDescent="0.25">
      <c r="A55" s="264" t="s">
        <v>615</v>
      </c>
      <c r="B55" s="264"/>
      <c r="C55" s="4">
        <f>('Salary Build Sheet (Clinical)'!L45/12)*(VLOOKUP($B$9,Depository1!$M$5:$N$21,2,0))</f>
        <v>0</v>
      </c>
      <c r="D55" s="4">
        <f>'Salary Build Sheet (Clinical)'!Z45</f>
        <v>0</v>
      </c>
      <c r="E55" s="4">
        <f>'Salary Build Sheet (Clinical)'!AN45</f>
        <v>0</v>
      </c>
      <c r="F55" s="9"/>
      <c r="G55" s="27">
        <f>SUM(C55:E55)</f>
        <v>0</v>
      </c>
      <c r="H55" s="9"/>
    </row>
    <row r="56" spans="1:11" x14ac:dyDescent="0.25">
      <c r="A56" s="264" t="s">
        <v>34</v>
      </c>
      <c r="B56" s="264"/>
      <c r="C56" s="4">
        <f>('Salary Build Sheet (Clinical)'!M48/12)*(VLOOKUP($B$9,Depository1!$M$5:$N$21,2,0))</f>
        <v>0</v>
      </c>
      <c r="D56" s="4">
        <f>'Salary Build Sheet (Clinical)'!AA48</f>
        <v>0</v>
      </c>
      <c r="E56" s="4">
        <f>'Salary Build Sheet (Clinical)'!AO48</f>
        <v>0</v>
      </c>
      <c r="F56" s="9"/>
      <c r="G56" s="27">
        <f>SUM(C56:E56)</f>
        <v>0</v>
      </c>
      <c r="H56" s="9"/>
      <c r="I56" s="297"/>
    </row>
    <row r="57" spans="1:11" x14ac:dyDescent="0.25">
      <c r="A57" s="264" t="s">
        <v>35</v>
      </c>
      <c r="B57" s="264"/>
      <c r="C57" s="4">
        <f>'Non-Salary Build (Clinical)'!C16</f>
        <v>0</v>
      </c>
      <c r="D57" s="4">
        <f>'Non-Salary Build (Clinical)'!D16</f>
        <v>0</v>
      </c>
      <c r="E57" s="4">
        <f>'Non-Salary Build (Clinical)'!E16</f>
        <v>0</v>
      </c>
      <c r="F57" s="9"/>
      <c r="G57" s="27">
        <f t="shared" si="7"/>
        <v>0</v>
      </c>
      <c r="H57" s="9"/>
      <c r="I57" s="68"/>
    </row>
    <row r="58" spans="1:11" x14ac:dyDescent="0.25">
      <c r="A58" s="264" t="s">
        <v>36</v>
      </c>
      <c r="B58" s="264"/>
      <c r="C58" s="4">
        <f>'Non-Salary Build (Clinical)'!C21</f>
        <v>0</v>
      </c>
      <c r="D58" s="4">
        <f>'Non-Salary Build (Clinical)'!D21</f>
        <v>0</v>
      </c>
      <c r="E58" s="4">
        <f>'Non-Salary Build (Clinical)'!E21</f>
        <v>0</v>
      </c>
      <c r="F58" s="9"/>
      <c r="G58" s="27">
        <f t="shared" si="7"/>
        <v>0</v>
      </c>
      <c r="H58" s="9"/>
      <c r="I58" s="68"/>
    </row>
    <row r="59" spans="1:11" x14ac:dyDescent="0.25">
      <c r="A59" s="264" t="s">
        <v>155</v>
      </c>
      <c r="B59" s="264"/>
      <c r="C59" s="4">
        <f>'Non-Salary Build (Clinical)'!C26</f>
        <v>0</v>
      </c>
      <c r="D59" s="4">
        <f>'Non-Salary Build (Clinical)'!D26</f>
        <v>0</v>
      </c>
      <c r="E59" s="4">
        <f>'Non-Salary Build (Clinical)'!E26</f>
        <v>0</v>
      </c>
      <c r="F59" s="298"/>
      <c r="G59" s="27">
        <f t="shared" si="7"/>
        <v>0</v>
      </c>
      <c r="H59" s="9"/>
      <c r="I59" s="68"/>
    </row>
    <row r="60" spans="1:11" ht="18" x14ac:dyDescent="0.4">
      <c r="A60" s="264" t="s">
        <v>209</v>
      </c>
      <c r="B60" s="264"/>
      <c r="C60" s="59">
        <f>'Non-Salary Build (Clinical)'!C38</f>
        <v>0</v>
      </c>
      <c r="D60" s="59">
        <f>'Non-Salary Build (Clinical)'!D38</f>
        <v>0</v>
      </c>
      <c r="E60" s="59">
        <f>'Non-Salary Build (Clinical)'!E38</f>
        <v>0</v>
      </c>
      <c r="F60" s="10"/>
      <c r="G60" s="45">
        <f t="shared" si="7"/>
        <v>0</v>
      </c>
      <c r="H60" s="10"/>
      <c r="I60" s="68"/>
    </row>
    <row r="61" spans="1:11" x14ac:dyDescent="0.25">
      <c r="A61" s="32" t="s">
        <v>210</v>
      </c>
      <c r="B61" s="31"/>
      <c r="C61" s="13">
        <f>SUM(C51:C60)</f>
        <v>0</v>
      </c>
      <c r="D61" s="13">
        <f>SUM(D51:D60)</f>
        <v>0</v>
      </c>
      <c r="E61" s="13">
        <f>SUM(E51:E60)</f>
        <v>0</v>
      </c>
      <c r="F61" s="13"/>
      <c r="G61" s="16">
        <f>SUM(G51:G60)</f>
        <v>0</v>
      </c>
      <c r="H61" s="11"/>
      <c r="I61" s="6"/>
    </row>
    <row r="62" spans="1:11" ht="5.25" customHeight="1" x14ac:dyDescent="0.25">
      <c r="A62" s="264"/>
      <c r="B62" s="264"/>
      <c r="C62" s="11"/>
      <c r="D62" s="11"/>
      <c r="E62" s="11"/>
      <c r="F62" s="11"/>
      <c r="G62" s="299"/>
      <c r="H62" s="11"/>
      <c r="I62" s="67"/>
    </row>
    <row r="63" spans="1:11" hidden="1" x14ac:dyDescent="0.25">
      <c r="A63" s="300" t="s">
        <v>40</v>
      </c>
      <c r="B63" s="300"/>
      <c r="C63" s="301">
        <f t="shared" ref="C63:H63" si="8">C32-C61</f>
        <v>0</v>
      </c>
      <c r="D63" s="301">
        <f t="shared" si="8"/>
        <v>0</v>
      </c>
      <c r="E63" s="301">
        <f t="shared" si="8"/>
        <v>0</v>
      </c>
      <c r="F63" s="301">
        <f t="shared" si="8"/>
        <v>0</v>
      </c>
      <c r="G63" s="302">
        <f t="shared" si="8"/>
        <v>0</v>
      </c>
      <c r="H63" s="303">
        <f t="shared" si="8"/>
        <v>0</v>
      </c>
    </row>
    <row r="64" spans="1:11" hidden="1" x14ac:dyDescent="0.25">
      <c r="A64" s="3" t="s">
        <v>59</v>
      </c>
      <c r="B64" s="31"/>
      <c r="C64" s="3">
        <f>IFERROR(IF(C63=0,0,C63/C32),0)</f>
        <v>0</v>
      </c>
      <c r="D64" s="3">
        <f>IFERROR(IF(D63=0,0,D63/D32),0)</f>
        <v>0</v>
      </c>
      <c r="E64" s="3">
        <f>IFERROR(IF(E63=0,0,E63/E32),0)</f>
        <v>0</v>
      </c>
      <c r="F64" s="3">
        <f>IF(F63=0,0,F63/F32)</f>
        <v>0</v>
      </c>
      <c r="G64" s="19">
        <f>IFERROR(IF(G63=0,0,G63/G32),0)</f>
        <v>0</v>
      </c>
      <c r="H64" s="39"/>
    </row>
    <row r="65" spans="1:12" ht="5.25" hidden="1" customHeight="1" x14ac:dyDescent="0.25">
      <c r="A65" s="31"/>
      <c r="B65" s="31"/>
      <c r="C65" s="3"/>
      <c r="D65" s="3"/>
      <c r="E65" s="3"/>
      <c r="F65" s="3"/>
      <c r="G65" s="19"/>
      <c r="H65" s="39"/>
    </row>
    <row r="66" spans="1:12" x14ac:dyDescent="0.25">
      <c r="A66" s="280" t="s">
        <v>41</v>
      </c>
      <c r="B66" s="280"/>
      <c r="C66" s="281">
        <f>C47+C61</f>
        <v>0</v>
      </c>
      <c r="D66" s="281">
        <f t="shared" ref="D66:H66" si="9">D47+D61</f>
        <v>0</v>
      </c>
      <c r="E66" s="281">
        <f t="shared" si="9"/>
        <v>0</v>
      </c>
      <c r="F66" s="281"/>
      <c r="G66" s="282">
        <f t="shared" si="9"/>
        <v>0</v>
      </c>
      <c r="H66" s="283">
        <f t="shared" si="9"/>
        <v>0</v>
      </c>
    </row>
    <row r="67" spans="1:12" ht="5.25" customHeight="1" x14ac:dyDescent="0.25">
      <c r="A67" s="49"/>
      <c r="B67" s="49"/>
      <c r="C67" s="4"/>
      <c r="D67" s="4"/>
      <c r="E67" s="4"/>
      <c r="F67" s="4"/>
      <c r="G67" s="18"/>
      <c r="H67" s="9"/>
    </row>
    <row r="68" spans="1:12" x14ac:dyDescent="0.25">
      <c r="A68" s="238" t="s">
        <v>74</v>
      </c>
      <c r="B68" s="238"/>
      <c r="C68" s="239">
        <f>C32-C66</f>
        <v>0</v>
      </c>
      <c r="D68" s="239">
        <f>D32-D66</f>
        <v>0</v>
      </c>
      <c r="E68" s="239">
        <f>E32-E66</f>
        <v>0</v>
      </c>
      <c r="F68" s="239">
        <f>F32-F66</f>
        <v>0</v>
      </c>
      <c r="G68" s="240">
        <f>G32-G66</f>
        <v>0</v>
      </c>
      <c r="H68" s="304"/>
      <c r="I68" s="6"/>
    </row>
    <row r="69" spans="1:12" s="6" customFormat="1" x14ac:dyDescent="0.25">
      <c r="A69" s="3" t="s">
        <v>60</v>
      </c>
      <c r="B69" s="305"/>
      <c r="C69" s="3">
        <f>IFERROR(IF(C68=0,0,C68/C32),0)</f>
        <v>0</v>
      </c>
      <c r="D69" s="3">
        <f>IFERROR(IF(D68=0,0,D68/D32),0)</f>
        <v>0</v>
      </c>
      <c r="E69" s="3">
        <f>IFERROR(IF(E68=0,0,E68/E32),0)</f>
        <v>0</v>
      </c>
      <c r="F69" s="3"/>
      <c r="G69" s="19">
        <f>IFERROR(IF(G68=0,0,G68/G32),0)</f>
        <v>0</v>
      </c>
      <c r="H69" s="39"/>
      <c r="I69" s="5"/>
    </row>
    <row r="70" spans="1:12" ht="5.25" customHeight="1" x14ac:dyDescent="0.25">
      <c r="A70" s="49"/>
      <c r="B70" s="49"/>
      <c r="C70" s="4"/>
      <c r="D70" s="4"/>
      <c r="E70" s="4"/>
      <c r="F70" s="4"/>
      <c r="G70" s="18"/>
      <c r="H70" s="9"/>
    </row>
    <row r="71" spans="1:12" hidden="1" x14ac:dyDescent="0.25">
      <c r="A71" s="31" t="s">
        <v>409</v>
      </c>
      <c r="B71" s="51"/>
      <c r="C71" s="29">
        <f>('Salary Build Sheet (Clinical)'!$G$10*'Salary Build Sheet (Clinical)'!$H$10)/12*(VLOOKUP($B$9,Depository1!$M$5:$N$21,2,0))+('Salary Build Sheet (Clinical)'!$G$11*'Salary Build Sheet (Clinical)'!$H$11)/12*(VLOOKUP($B$9,Depository1!$M$5:$N$21,2,0))+('Salary Build Sheet (Clinical)'!$G$12*'Salary Build Sheet (Clinical)'!$H$12)/12*(VLOOKUP($B$9,Depository1!$M$5:$N$21,2,0))+('Salary Build Sheet (Clinical)'!$G$13*'Salary Build Sheet (Clinical)'!$H$13)/12*(VLOOKUP($B$9,Depository1!$M$5:$N$21,2,0))+('Salary Build Sheet (Clinical)'!$G$14*'Salary Build Sheet (Clinical)'!$H$14)/12*(VLOOKUP($B$9,Depository1!$M$5:$N$21,2,0))+('Salary Build Sheet (Clinical)'!$G$15*'Salary Build Sheet (Clinical)'!$H$15)/12*(VLOOKUP($B$9,Depository1!$M$5:$N$21,2,0))+('Salary Build Sheet (Clinical)'!$G$16*'Salary Build Sheet (Clinical)'!$H$16)/12*(VLOOKUP($B$9,Depository1!$M$5:$N$21,2,0))+C72</f>
        <v>0</v>
      </c>
      <c r="D71" s="29">
        <f>('Salary Build Sheet (Clinical)'!$T$10*'Salary Build Sheet (Clinical)'!$V$10)+('Salary Build Sheet (Clinical)'!$T$11*'Salary Build Sheet (Clinical)'!$V$11)+('Salary Build Sheet (Clinical)'!$T$12*'Salary Build Sheet (Clinical)'!$V$12)+('Salary Build Sheet (Clinical)'!$T$13*'Salary Build Sheet (Clinical)'!$V$13)+('Salary Build Sheet (Clinical)'!$T$14*'Salary Build Sheet (Clinical)'!$V$14)+('Salary Build Sheet (Clinical)'!$T$15*'Salary Build Sheet (Clinical)'!$V$15)+('Salary Build Sheet (Clinical)'!$T$16*'Salary Build Sheet (Clinical)'!$V$16)+D72</f>
        <v>0</v>
      </c>
      <c r="E71" s="29">
        <f>('Salary Build Sheet (Clinical)'!$AH$10*'Salary Build Sheet (Clinical)'!$AJ$10)+('Salary Build Sheet (Clinical)'!$AH$11*'Salary Build Sheet (Clinical)'!$AJ$11)+('Salary Build Sheet (Clinical)'!$AH$12*'Salary Build Sheet (Clinical)'!$AJ$12)+('Salary Build Sheet (Clinical)'!$AH$13*'Salary Build Sheet (Clinical)'!$AJ$13)+('Salary Build Sheet (Clinical)'!$AH$14*'Salary Build Sheet (Clinical)'!$AJ$14)+('Salary Build Sheet (Clinical)'!$AH$15*'Salary Build Sheet (Clinical)'!$AJ$15)+('Salary Build Sheet (Clinical)'!$AH$16*'Salary Build Sheet (Clinical)'!$AJ$16)+E72</f>
        <v>0</v>
      </c>
      <c r="F71" s="21">
        <f>F23</f>
        <v>0</v>
      </c>
      <c r="G71" s="28">
        <f>SUM(C71:F71)</f>
        <v>0</v>
      </c>
      <c r="H71" s="40"/>
      <c r="J71" s="63"/>
    </row>
    <row r="72" spans="1:12" s="62" customFormat="1" hidden="1" x14ac:dyDescent="0.25">
      <c r="A72" s="44"/>
      <c r="B72" s="306"/>
      <c r="C72" s="24">
        <f>(SUMIF('Salary Build Sheet (Clinical)'!$C$19:$C$23,"YNHH Not Metric-Based",'Salary Build Sheet (Clinical)'!$H$19:$H$23))/12*(VLOOKUP($B$9,Depository1!$M$5:$N$21,2,0))</f>
        <v>0</v>
      </c>
      <c r="D72" s="24">
        <f>(SUMIF('Salary Build Sheet (Clinical)'!$C$19:$C$23,"YNHH Not Metric-Based",'Salary Build Sheet (Clinical)'!$V$19:$V$23))</f>
        <v>0</v>
      </c>
      <c r="E72" s="24">
        <f>(SUMIF('Salary Build Sheet (Clinical)'!$C$19:$C$23,"YNHH Not Metric-Based",'Salary Build Sheet (Clinical)'!$AJ$19:$AJ$23))</f>
        <v>0</v>
      </c>
      <c r="F72" s="60"/>
      <c r="G72" s="28"/>
      <c r="H72" s="61"/>
      <c r="I72" s="5"/>
      <c r="J72" s="66"/>
      <c r="K72" s="65"/>
      <c r="L72" s="66"/>
    </row>
    <row r="73" spans="1:12" hidden="1" x14ac:dyDescent="0.25">
      <c r="A73" s="31" t="s">
        <v>410</v>
      </c>
      <c r="B73" s="51"/>
      <c r="C73" s="29">
        <f>(SUMIF('Salary Build Sheet (Clinical)'!$C$19:$C$23,"YNHH Metric-Based",'Salary Build Sheet (Clinical)'!$H$19:$H$23))/12*(VLOOKUP($B$9,Depository1!$M$5:$N$21,2,0))</f>
        <v>0</v>
      </c>
      <c r="D73" s="29">
        <f>SUMIF('Salary Build Sheet (Clinical)'!$C$19:$C$23,"YNHH Metric-Based",'Salary Build Sheet (Clinical)'!$V$19:$V$23)</f>
        <v>0</v>
      </c>
      <c r="E73" s="29">
        <f>SUMIF('Salary Build Sheet (Clinical)'!$C$19:$C$23,"YNHH Metric-Based",'Salary Build Sheet (Clinical)'!$AJ$19:$AJ$23)</f>
        <v>0</v>
      </c>
      <c r="F73" s="21"/>
      <c r="G73" s="28">
        <f>SUM(C73:F73)</f>
        <v>0</v>
      </c>
      <c r="H73" s="40"/>
    </row>
    <row r="74" spans="1:12" hidden="1" x14ac:dyDescent="0.25">
      <c r="A74" s="31" t="s">
        <v>411</v>
      </c>
      <c r="B74" s="51"/>
      <c r="C74" s="29">
        <f>(SUM(C72:C73)*Assumptions!$D$15)+(('Salary Build Sheet (Clinical)'!$I$10*'Salary Build Sheet (Clinical)'!$G$10)/12+('Salary Build Sheet (Clinical)'!$I$11*'Salary Build Sheet (Clinical)'!$G$11)/12+('Salary Build Sheet (Clinical)'!$I$12*'Salary Build Sheet (Clinical)'!$G$12)/12+('Salary Build Sheet (Clinical)'!$I$13*'Salary Build Sheet (Clinical)'!$G$13)/12+('Salary Build Sheet (Clinical)'!$I$14*'Salary Build Sheet (Clinical)'!$G$14)/12+('Salary Build Sheet (Clinical)'!$I$15*'Salary Build Sheet (Clinical)'!$G$15)/12+('Salary Build Sheet (Clinical)'!$I$16*'Salary Build Sheet (Clinical)'!$G$16)/12)*(VLOOKUP($B$9,Depository1!$M$5:$N$21,2,0))</f>
        <v>0</v>
      </c>
      <c r="D74" s="29">
        <f>('Salary Build Sheet (Clinical)'!$T$10*'Salary Build Sheet (Clinical)'!$W$10)+('Salary Build Sheet (Clinical)'!$T$11*'Salary Build Sheet (Clinical)'!$W$11)+('Salary Build Sheet (Clinical)'!$T$12*'Salary Build Sheet (Clinical)'!$W$12)+('Salary Build Sheet (Clinical)'!$T$13*'Salary Build Sheet (Clinical)'!$W$13)+('Salary Build Sheet (Clinical)'!$T$14*'Salary Build Sheet (Clinical)'!$W$14)+('Salary Build Sheet (Clinical)'!$T$15*'Salary Build Sheet (Clinical)'!$W$15)+('Salary Build Sheet (Clinical)'!$T$16*'Salary Build Sheet (Clinical)'!$W$16)+(SUM($D$72:$D$73)*Assumptions!$D$15)</f>
        <v>0</v>
      </c>
      <c r="E74" s="29">
        <f>('Salary Build Sheet (Clinical)'!$AH$10*'Salary Build Sheet (Clinical)'!$AK$10)+('Salary Build Sheet (Clinical)'!$AH$11*'Salary Build Sheet (Clinical)'!$AK$11)+('Salary Build Sheet (Clinical)'!$AH$12*'Salary Build Sheet (Clinical)'!$AK$12)+('Salary Build Sheet (Clinical)'!$AH$13*'Salary Build Sheet (Clinical)'!$AK$13)+('Salary Build Sheet (Clinical)'!$AH$14*'Salary Build Sheet (Clinical)'!$AK$14)+('Salary Build Sheet (Clinical)'!$AH$15*'Salary Build Sheet (Clinical)'!$AK$15)+('Salary Build Sheet (Clinical)'!$AH$16*'Salary Build Sheet (Clinical)'!$AK$16)+(SUM($E$72:$E$73)*Assumptions!$D$15)</f>
        <v>0</v>
      </c>
      <c r="F74" s="21"/>
      <c r="G74" s="28">
        <f>SUM(C74:F74)</f>
        <v>0</v>
      </c>
      <c r="H74" s="40"/>
      <c r="J74" s="64"/>
      <c r="K74" s="64"/>
      <c r="L74" s="64"/>
    </row>
    <row r="75" spans="1:12" hidden="1" x14ac:dyDescent="0.25">
      <c r="A75" s="31" t="s">
        <v>505</v>
      </c>
      <c r="B75" s="51"/>
      <c r="C75" s="29">
        <f>(SUM(C73:C74)*Assumptions!$D$15)+(('Salary Build Sheet (Clinical)'!$J$10*'Salary Build Sheet (Clinical)'!$G$10)/12+('Salary Build Sheet (Clinical)'!$J$11*'Salary Build Sheet (Clinical)'!$G$11)/12+('Salary Build Sheet (Clinical)'!$J$12*'Salary Build Sheet (Clinical)'!$G$12)/12+('Salary Build Sheet (Clinical)'!$J$13*'Salary Build Sheet (Clinical)'!$G$13)/12+('Salary Build Sheet (Clinical)'!$J$14*'Salary Build Sheet (Clinical)'!$G$14)/12+('Salary Build Sheet (Clinical)'!$J$15*'Salary Build Sheet (Clinical)'!$G$15)/12+('Salary Build Sheet (Clinical)'!$J$16*'Salary Build Sheet (Clinical)'!$G$16)/12)*(VLOOKUP($B$9,Depository1!$M$5:$N$21,2,0))</f>
        <v>0</v>
      </c>
      <c r="D75" s="29">
        <f>(SUM(D73:D74)*Assumptions!$D$15)+(('Salary Build Sheet (Clinical)'!$J$10*'Salary Build Sheet (Clinical)'!$G$10)/12+('Salary Build Sheet (Clinical)'!$J$11*'Salary Build Sheet (Clinical)'!$G$11)/12+('Salary Build Sheet (Clinical)'!$J$12*'Salary Build Sheet (Clinical)'!$G$12)/12+('Salary Build Sheet (Clinical)'!$J$13*'Salary Build Sheet (Clinical)'!$G$13)/12+('Salary Build Sheet (Clinical)'!$J$14*'Salary Build Sheet (Clinical)'!$G$14)/12+('Salary Build Sheet (Clinical)'!$J$15*'Salary Build Sheet (Clinical)'!$G$15)/12+('Salary Build Sheet (Clinical)'!$J$16*'Salary Build Sheet (Clinical)'!$G$16)/12)*(VLOOKUP($B$9,Depository1!$M$5:$N$21,2,0))</f>
        <v>0</v>
      </c>
      <c r="E75" s="29">
        <f>(SUM(E73:E74)*Assumptions!$D$15)+(('Salary Build Sheet (Clinical)'!$J$10*'Salary Build Sheet (Clinical)'!$G$10)/12+('Salary Build Sheet (Clinical)'!$J$11*'Salary Build Sheet (Clinical)'!$G$11)/12+('Salary Build Sheet (Clinical)'!$J$12*'Salary Build Sheet (Clinical)'!$G$12)/12+('Salary Build Sheet (Clinical)'!$J$13*'Salary Build Sheet (Clinical)'!$G$13)/12+('Salary Build Sheet (Clinical)'!$J$14*'Salary Build Sheet (Clinical)'!$G$14)/12+('Salary Build Sheet (Clinical)'!$J$15*'Salary Build Sheet (Clinical)'!$G$15)/12+('Salary Build Sheet (Clinical)'!$J$16*'Salary Build Sheet (Clinical)'!$G$16)/12)*(VLOOKUP($B$9,Depository1!$M$5:$N$21,2,0))</f>
        <v>0</v>
      </c>
      <c r="F75" s="21"/>
      <c r="G75" s="28"/>
      <c r="H75" s="40"/>
      <c r="J75" s="64"/>
      <c r="K75" s="64"/>
      <c r="L75" s="64"/>
    </row>
    <row r="76" spans="1:12" x14ac:dyDescent="0.25">
      <c r="A76" s="32" t="s">
        <v>412</v>
      </c>
      <c r="B76" s="284"/>
      <c r="C76" s="307">
        <f>C23+C24</f>
        <v>0</v>
      </c>
      <c r="D76" s="307">
        <f>D23+D24</f>
        <v>0</v>
      </c>
      <c r="E76" s="307">
        <f>E23+E24</f>
        <v>0</v>
      </c>
      <c r="F76" s="307">
        <f>SUM(F71:F74)</f>
        <v>0</v>
      </c>
      <c r="G76" s="22">
        <f>E76+D76+C76</f>
        <v>0</v>
      </c>
      <c r="H76" s="11"/>
      <c r="J76" s="63"/>
    </row>
    <row r="77" spans="1:12" ht="5.25" customHeight="1" x14ac:dyDescent="0.25">
      <c r="A77" s="32"/>
      <c r="B77" s="284"/>
      <c r="C77" s="307"/>
      <c r="D77" s="307"/>
      <c r="E77" s="286"/>
      <c r="F77" s="307"/>
      <c r="G77" s="22"/>
      <c r="H77" s="11"/>
      <c r="J77" s="63"/>
    </row>
    <row r="78" spans="1:12" hidden="1" x14ac:dyDescent="0.25">
      <c r="A78" s="264" t="s">
        <v>406</v>
      </c>
      <c r="B78" s="284"/>
      <c r="C78" s="307">
        <f>IF(AND($A$3="YNHHS PDDO",C68&lt;0),-C68,C26)</f>
        <v>0</v>
      </c>
      <c r="D78" s="307">
        <f>IF(AND($A$3="YNHHS PDDO",D68&lt;0),-D68,D26)</f>
        <v>0</v>
      </c>
      <c r="E78" s="307">
        <f>IF(AND($A$3="YNHHS PDDO",E68&lt;0),-E68,E26)</f>
        <v>0</v>
      </c>
      <c r="F78" s="307">
        <f>IF($A$3="YNHHS Contractual - PDDO",-F68,F25)</f>
        <v>0</v>
      </c>
      <c r="G78" s="22">
        <f>E78+D78+C78</f>
        <v>0</v>
      </c>
      <c r="H78" s="11"/>
      <c r="J78" s="63"/>
    </row>
    <row r="79" spans="1:12" x14ac:dyDescent="0.25">
      <c r="A79" s="264" t="s">
        <v>395</v>
      </c>
      <c r="B79" s="284">
        <v>0.11700000000000001</v>
      </c>
      <c r="C79" s="307">
        <f>IF(AND($A$3="YNHH PDDO",(C$68&lt;0)),(-C$68*$B$79)+(C$76)*$B$79,0)</f>
        <v>0</v>
      </c>
      <c r="D79" s="307">
        <f t="shared" ref="D79:E79" si="10">IF(AND($A$3="YNHH PDDO",(D$68&lt;0)),(-D$68*$B$79)+(D$76)*$B$79,0)</f>
        <v>0</v>
      </c>
      <c r="E79" s="307">
        <f t="shared" si="10"/>
        <v>0</v>
      </c>
      <c r="F79" s="307">
        <f>IF($A$3="YNHHS Contractual - PDDO",0,IF(AND($A$3="PDDO - YNHH",F68&lt;0),(F76+F78+-F68),(F76+F78))*$B$79)</f>
        <v>0</v>
      </c>
      <c r="G79" s="22">
        <f>E79+D79+C79</f>
        <v>0</v>
      </c>
      <c r="H79" s="11"/>
      <c r="J79" s="63"/>
    </row>
    <row r="80" spans="1:12" x14ac:dyDescent="0.25">
      <c r="A80" s="264" t="s">
        <v>657</v>
      </c>
      <c r="B80" s="284">
        <v>0.11700000000000001</v>
      </c>
      <c r="C80" s="307">
        <f>IF(AND($A$3="YNHHS PDDO",C$68&lt;0),(-C$68/(1-$B$80)+C$68)+C$76/(1-$B$80)+-C$76,0)</f>
        <v>0</v>
      </c>
      <c r="D80" s="307">
        <f t="shared" ref="D80:E80" si="11">IF(AND($A$3="YNHHS PDDO",D$68&lt;0),(-D$68/(1-$B$80)+D$68)+D$76/(1-$B$80)+-D$76,0)</f>
        <v>0</v>
      </c>
      <c r="E80" s="307">
        <f t="shared" si="11"/>
        <v>0</v>
      </c>
      <c r="F80" s="307">
        <f>IF($A$3="YNHHS Contractual - PDDO",((F78+F76)/0.85))-F78-F76</f>
        <v>0</v>
      </c>
      <c r="G80" s="22">
        <f>E80+D80+C80</f>
        <v>0</v>
      </c>
      <c r="H80" s="40"/>
    </row>
    <row r="81" spans="1:8" x14ac:dyDescent="0.25">
      <c r="A81" s="264" t="s">
        <v>658</v>
      </c>
      <c r="B81" s="284">
        <v>0.15</v>
      </c>
      <c r="C81" s="307">
        <f>IF(AND($A$3="Non-Affiliated PDDO",C$68&lt;0),(-C$68/(1-$B$81)+C$68)+C$76/(1-$B$81)+-C$76,0)</f>
        <v>0</v>
      </c>
      <c r="D81" s="307">
        <f>IF(AND($A$3="Non-Affiliated PDDO",D$68&lt;0),(-D$68/(1-$B$81)+D$68)+D$76/(1-$B$81)+-D$76,0)</f>
        <v>0</v>
      </c>
      <c r="E81" s="307">
        <f>IF(AND($A$3="Non-Affiliated PDDO",E$68&lt;0),(-E$68/(1-$B$81)+E$68)+E$76/(1-$B$81)+-E$76,0)</f>
        <v>0</v>
      </c>
      <c r="F81" s="307"/>
      <c r="G81" s="22">
        <f>E81+D81+C81</f>
        <v>0</v>
      </c>
      <c r="H81" s="40"/>
    </row>
    <row r="82" spans="1:8" x14ac:dyDescent="0.25">
      <c r="A82" s="280" t="s">
        <v>645</v>
      </c>
      <c r="B82" s="280"/>
      <c r="C82" s="281">
        <f>IF($A$3="Contractual",(C25+C24+C23+C26+SUM(C36:C37)),(C81+C80+C79+C76+-C68))</f>
        <v>0</v>
      </c>
      <c r="D82" s="281">
        <f>IF($A$3="Contractual",(D25+D24+D23+D26+SUM(D36:D37)),(D81+D80+D79+D76+-D68))</f>
        <v>0</v>
      </c>
      <c r="E82" s="281">
        <f>IF($A$3="Contractual",(E25+E24+E23+E26+SUM(E36:E37)),(E81+E80+E79+E76+-E68))</f>
        <v>0</v>
      </c>
      <c r="F82" s="281"/>
      <c r="G82" s="282">
        <f>E82+D82+C82</f>
        <v>0</v>
      </c>
      <c r="H82" s="304"/>
    </row>
    <row r="83" spans="1:8" s="6" customFormat="1" ht="5.25" customHeight="1" x14ac:dyDescent="0.25">
      <c r="A83" s="308"/>
      <c r="B83" s="309"/>
      <c r="C83" s="310"/>
      <c r="D83" s="310"/>
      <c r="E83" s="310"/>
      <c r="F83" s="310"/>
      <c r="G83" s="17"/>
      <c r="H83" s="311"/>
    </row>
    <row r="84" spans="1:8" ht="12.75" customHeight="1" thickBot="1" x14ac:dyDescent="0.3">
      <c r="A84" s="312" t="s">
        <v>173</v>
      </c>
      <c r="B84" s="277"/>
      <c r="C84" s="313"/>
      <c r="D84" s="313"/>
      <c r="E84" s="313"/>
      <c r="F84" s="9"/>
      <c r="G84" s="314"/>
      <c r="H84" s="9"/>
    </row>
    <row r="85" spans="1:8" ht="12.75" customHeight="1" x14ac:dyDescent="0.25">
      <c r="A85" s="312"/>
      <c r="B85" s="277"/>
      <c r="C85" s="315"/>
      <c r="D85" s="315"/>
      <c r="E85" s="315"/>
      <c r="F85" s="315">
        <f>-F68/(1-$B$79)+$C$68</f>
        <v>0</v>
      </c>
      <c r="G85" s="9"/>
      <c r="H85" s="9"/>
    </row>
    <row r="86" spans="1:8" x14ac:dyDescent="0.25">
      <c r="A86" s="277"/>
      <c r="B86" s="277"/>
      <c r="C86" s="316"/>
      <c r="D86" s="316"/>
      <c r="E86" s="316"/>
      <c r="F86" s="317">
        <f t="shared" ref="F86" si="12">F23</f>
        <v>0</v>
      </c>
      <c r="G86" s="9"/>
      <c r="H86" s="9"/>
    </row>
    <row r="87" spans="1:8" x14ac:dyDescent="0.25">
      <c r="A87" s="277"/>
      <c r="B87" s="277"/>
      <c r="C87" s="315"/>
      <c r="D87" s="315"/>
      <c r="E87" s="315"/>
      <c r="F87" s="273">
        <f t="shared" ref="F87" si="13">F86+F85+F79</f>
        <v>0</v>
      </c>
      <c r="G87" s="9"/>
      <c r="H87" s="9"/>
    </row>
    <row r="88" spans="1:8" x14ac:dyDescent="0.25">
      <c r="A88" s="277"/>
      <c r="B88" s="318"/>
      <c r="C88" s="316"/>
      <c r="D88" s="316"/>
      <c r="E88" s="316"/>
      <c r="F88" s="9"/>
      <c r="G88" s="9"/>
      <c r="H88" s="9"/>
    </row>
    <row r="89" spans="1:8" x14ac:dyDescent="0.25">
      <c r="C89" s="319"/>
      <c r="D89" s="319"/>
      <c r="E89" s="319"/>
    </row>
    <row r="90" spans="1:8" x14ac:dyDescent="0.25">
      <c r="C90" s="320"/>
      <c r="D90" s="319"/>
      <c r="E90" s="319"/>
    </row>
    <row r="91" spans="1:8" x14ac:dyDescent="0.25">
      <c r="C91" s="319"/>
      <c r="D91" s="319"/>
      <c r="E91" s="319"/>
    </row>
    <row r="93" spans="1:8" x14ac:dyDescent="0.25">
      <c r="C93" s="321"/>
      <c r="D93" s="321"/>
      <c r="E93" s="321"/>
    </row>
    <row r="94" spans="1:8" x14ac:dyDescent="0.25">
      <c r="C94" s="322"/>
    </row>
    <row r="96" spans="1:8" x14ac:dyDescent="0.25">
      <c r="C96" s="323"/>
    </row>
    <row r="97" spans="3:3" x14ac:dyDescent="0.25">
      <c r="C97" s="63"/>
    </row>
    <row r="98" spans="3:3" x14ac:dyDescent="0.25">
      <c r="C98" s="323"/>
    </row>
  </sheetData>
  <sheetProtection algorithmName="SHA-512" hashValue="qfR0mg2urVDTYZ+vnL+NeqvoCAwgYCEo9qNbVsFWPtXW6k4fYYUBE2uYKMDFcy/+hrfZ9uWQ/HfnbPH7A2vOWQ==" saltValue="rt3NFqn60DfgRk8toI9WpQ==" spinCount="100000" sheet="1" formatCells="0" autoFilter="0"/>
  <mergeCells count="2">
    <mergeCell ref="G10:G11"/>
    <mergeCell ref="A10:B10"/>
  </mergeCells>
  <dataValidations count="2">
    <dataValidation type="list" allowBlank="1" showInputMessage="1" showErrorMessage="1" sqref="B13" xr:uid="{00000000-0002-0000-0200-000000000000}">
      <formula1>volumes</formula1>
    </dataValidation>
    <dataValidation type="list" allowBlank="1" showInputMessage="1" showErrorMessage="1" sqref="B8" xr:uid="{00000000-0002-0000-0200-000004000000}">
      <formula1>FYstart</formula1>
    </dataValidation>
  </dataValidations>
  <printOptions horizontalCentered="1"/>
  <pageMargins left="0.25" right="0.25" top="0.5" bottom="0.5" header="0.3" footer="0.3"/>
  <pageSetup scale="70" orientation="portrait" r:id="rId1"/>
  <headerFooter>
    <oddFooter>&amp;L&amp;8&amp;F &amp;R&amp;8&amp;D 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1000000}">
          <x14:formula1>
            <xm:f>Depository1!$B$17:$B$30</xm:f>
          </x14:formula1>
          <xm:sqref>C8</xm:sqref>
        </x14:dataValidation>
        <x14:dataValidation type="list" allowBlank="1" showInputMessage="1" showErrorMessage="1" xr:uid="{00000000-0002-0000-0200-000002000000}">
          <x14:formula1>
            <xm:f>Depository1!$C$18:$C$31</xm:f>
          </x14:formula1>
          <xm:sqref>D8</xm:sqref>
        </x14:dataValidation>
        <x14:dataValidation type="list" allowBlank="1" showInputMessage="1" showErrorMessage="1" xr:uid="{00000000-0002-0000-0200-000003000000}">
          <x14:formula1>
            <xm:f>Depository1!$D$17:$D$30</xm:f>
          </x14:formula1>
          <xm:sqref>E8</xm:sqref>
        </x14:dataValidation>
        <x14:dataValidation type="list" allowBlank="1" showInputMessage="1" showErrorMessage="1" xr:uid="{00000000-0002-0000-0200-000006000000}">
          <x14:formula1>
            <xm:f>Depository1!$M$5:$M$23</xm:f>
          </x14:formula1>
          <xm:sqref>B9</xm:sqref>
        </x14:dataValidation>
        <x14:dataValidation type="list" allowBlank="1" showInputMessage="1" showErrorMessage="1" xr:uid="{00000000-0002-0000-0200-000007000000}">
          <x14:formula1>
            <xm:f>Depository1!$E$5:$E$12</xm:f>
          </x14:formula1>
          <xm:sqref>A4</xm:sqref>
        </x14:dataValidation>
        <x14:dataValidation type="list" allowBlank="1" showInputMessage="1" showErrorMessage="1" xr:uid="{00000000-0002-0000-0200-000008000000}">
          <x14:formula1>
            <xm:f>Depository1!$J$5:$J$83</xm:f>
          </x14:formula1>
          <xm:sqref>A6</xm:sqref>
        </x14:dataValidation>
        <x14:dataValidation type="list" allowBlank="1" showInputMessage="1" showErrorMessage="1" xr:uid="{00000000-0002-0000-0200-000009000000}">
          <x14:formula1>
            <xm:f>Depository1!$C$5:$C$10</xm:f>
          </x14:formula1>
          <xm:sqref>A3</xm:sqref>
        </x14:dataValidation>
        <x14:dataValidation type="list" allowBlank="1" showInputMessage="1" showErrorMessage="1" xr:uid="{00000000-0002-0000-0200-000005000000}">
          <x14:formula1>
            <xm:f>Depository1!$H$5:$H$28</xm:f>
          </x14:formula1>
          <xm:sqref>A5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1:S32"/>
  <sheetViews>
    <sheetView zoomScale="93" zoomScaleNormal="93" zoomScaleSheetLayoutView="70" workbookViewId="0">
      <selection activeCell="B4" sqref="B4"/>
    </sheetView>
  </sheetViews>
  <sheetFormatPr defaultColWidth="9.140625" defaultRowHeight="15" x14ac:dyDescent="0.25"/>
  <cols>
    <col min="1" max="1" width="4.5703125" style="92" customWidth="1"/>
    <col min="2" max="2" width="46.5703125" style="324" customWidth="1"/>
    <col min="3" max="3" width="14.140625" style="324" customWidth="1"/>
    <col min="4" max="4" width="14.5703125" style="324" bestFit="1" customWidth="1"/>
    <col min="5" max="5" width="15.7109375" style="324" bestFit="1" customWidth="1"/>
    <col min="6" max="6" width="14.5703125" style="324" hidden="1" customWidth="1"/>
    <col min="7" max="7" width="14.28515625" style="324" hidden="1" customWidth="1"/>
    <col min="8" max="8" width="14.7109375" style="324" customWidth="1"/>
    <col min="9" max="9" width="44.7109375" style="324" customWidth="1"/>
    <col min="10" max="10" width="11.5703125" style="92" bestFit="1" customWidth="1"/>
    <col min="11" max="11" width="8.140625" style="94" bestFit="1" customWidth="1"/>
    <col min="12" max="12" width="12.28515625" style="95" bestFit="1" customWidth="1"/>
    <col min="13" max="14" width="10.28515625" style="92" bestFit="1" customWidth="1"/>
    <col min="15" max="15" width="10" style="92" bestFit="1" customWidth="1"/>
    <col min="16" max="16" width="10.28515625" style="92" bestFit="1" customWidth="1"/>
    <col min="17" max="17" width="27.140625" style="92" bestFit="1" customWidth="1"/>
    <col min="18" max="18" width="9.85546875" style="92" customWidth="1"/>
    <col min="19" max="19" width="28.85546875" style="92" bestFit="1" customWidth="1"/>
    <col min="20" max="20" width="16.7109375" style="92" bestFit="1" customWidth="1"/>
    <col min="21" max="21" width="19.5703125" style="92" customWidth="1"/>
    <col min="22" max="22" width="18.42578125" style="92" customWidth="1"/>
    <col min="23" max="23" width="20" style="92" customWidth="1"/>
    <col min="24" max="24" width="9.140625" style="92"/>
    <col min="25" max="25" width="12.42578125" style="92" bestFit="1" customWidth="1"/>
    <col min="26" max="26" width="13.7109375" style="92" bestFit="1" customWidth="1"/>
    <col min="27" max="16384" width="9.140625" style="92"/>
  </cols>
  <sheetData>
    <row r="1" spans="2:19" x14ac:dyDescent="0.25">
      <c r="I1" s="325"/>
    </row>
    <row r="2" spans="2:19" ht="11.25" customHeight="1" x14ac:dyDescent="0.25"/>
    <row r="3" spans="2:19" ht="7.5" customHeight="1" x14ac:dyDescent="0.2">
      <c r="B3" s="326"/>
      <c r="C3" s="327"/>
      <c r="D3" s="327"/>
      <c r="E3" s="327"/>
      <c r="F3" s="327"/>
      <c r="G3" s="327"/>
      <c r="H3" s="327"/>
      <c r="I3" s="328"/>
      <c r="P3" s="96"/>
      <c r="Q3" s="96"/>
      <c r="R3" s="96"/>
      <c r="S3" s="96"/>
    </row>
    <row r="4" spans="2:19" ht="15.75" x14ac:dyDescent="0.25">
      <c r="B4" s="329">
        <f>'YSM-YM Clinical Plan'!A3</f>
        <v>0</v>
      </c>
      <c r="C4" s="330"/>
      <c r="D4" s="330"/>
      <c r="E4" s="330"/>
      <c r="F4" s="330"/>
      <c r="G4" s="330"/>
      <c r="H4" s="330"/>
      <c r="I4" s="328"/>
    </row>
    <row r="5" spans="2:19" ht="16.5" thickBot="1" x14ac:dyDescent="0.3">
      <c r="B5" s="329"/>
      <c r="C5" s="330"/>
      <c r="D5" s="330"/>
      <c r="E5" s="330"/>
      <c r="F5" s="330"/>
      <c r="G5" s="330"/>
      <c r="H5" s="330"/>
      <c r="I5" s="328"/>
    </row>
    <row r="6" spans="2:19" ht="32.25" customHeight="1" x14ac:dyDescent="0.2">
      <c r="B6" s="331"/>
      <c r="C6" s="594" t="str">
        <f>'YSM-YM Clinical Plan'!B8</f>
        <v>FY 2024</v>
      </c>
      <c r="D6" s="595" t="str">
        <f>CONCATENATE("FY", " ",RIGHT(C6,4)+1)</f>
        <v>FY 2025</v>
      </c>
      <c r="E6" s="595" t="str">
        <f>CONCATENATE("FY", " ",RIGHT(D6,4)+1)</f>
        <v>FY 2026</v>
      </c>
      <c r="F6" s="332" t="s">
        <v>461</v>
      </c>
      <c r="G6" s="334" t="s">
        <v>462</v>
      </c>
      <c r="H6" s="335" t="s">
        <v>463</v>
      </c>
      <c r="I6" s="333" t="s">
        <v>464</v>
      </c>
      <c r="K6" s="95"/>
      <c r="P6" s="93"/>
      <c r="Q6" s="93"/>
      <c r="R6" s="93"/>
      <c r="S6" s="93"/>
    </row>
    <row r="7" spans="2:19" ht="16.5" customHeight="1" x14ac:dyDescent="0.2">
      <c r="B7" s="336" t="s">
        <v>465</v>
      </c>
      <c r="C7" s="337">
        <f>'YSM-YM Clinical Plan'!C14</f>
        <v>0</v>
      </c>
      <c r="D7" s="337">
        <f>'YSM-YM Clinical Plan'!D14</f>
        <v>0</v>
      </c>
      <c r="E7" s="337">
        <f>'YSM-YM Clinical Plan'!E14</f>
        <v>0</v>
      </c>
      <c r="F7" s="338">
        <v>1</v>
      </c>
      <c r="G7" s="338">
        <f>+D7</f>
        <v>0</v>
      </c>
      <c r="H7" s="339"/>
      <c r="I7" s="340"/>
      <c r="R7" s="97"/>
      <c r="S7" s="97"/>
    </row>
    <row r="8" spans="2:19" ht="18" customHeight="1" x14ac:dyDescent="0.2">
      <c r="B8" s="341" t="s">
        <v>64</v>
      </c>
      <c r="C8" s="342">
        <f>'YSM-YM Clinical Plan'!C13</f>
        <v>0</v>
      </c>
      <c r="D8" s="342">
        <f>'YSM-YM Clinical Plan'!D13</f>
        <v>0</v>
      </c>
      <c r="E8" s="342">
        <f>'YSM-YM Clinical Plan'!E13</f>
        <v>0</v>
      </c>
      <c r="F8" s="342">
        <f>'[1]YSM-YM Clinical Plan'!F14</f>
        <v>0</v>
      </c>
      <c r="G8" s="343">
        <f>'[1]YSM-YM Clinical Plan'!G14</f>
        <v>1000</v>
      </c>
      <c r="H8" s="339">
        <f>SUM(C8:E8)</f>
        <v>0</v>
      </c>
      <c r="I8" s="344" t="str">
        <f>'YSM-YM Clinical Plan'!B13</f>
        <v>wRVUs</v>
      </c>
      <c r="K8" s="98"/>
      <c r="L8" s="99"/>
      <c r="M8" s="100"/>
      <c r="R8" s="97"/>
      <c r="S8" s="97"/>
    </row>
    <row r="9" spans="2:19" ht="15.75" x14ac:dyDescent="0.2">
      <c r="B9" s="341" t="s">
        <v>478</v>
      </c>
      <c r="C9" s="345"/>
      <c r="D9" s="346"/>
      <c r="E9" s="346"/>
      <c r="F9" s="346"/>
      <c r="G9" s="346"/>
      <c r="H9" s="347"/>
      <c r="I9" s="340"/>
      <c r="K9" s="98"/>
      <c r="L9" s="99"/>
      <c r="M9" s="100"/>
      <c r="R9" s="97"/>
      <c r="S9" s="97"/>
    </row>
    <row r="10" spans="2:19" ht="15.75" x14ac:dyDescent="0.2">
      <c r="B10" s="341"/>
      <c r="C10" s="348"/>
      <c r="D10" s="349"/>
      <c r="E10" s="349"/>
      <c r="F10" s="349"/>
      <c r="G10" s="349"/>
      <c r="H10" s="350"/>
      <c r="I10" s="340"/>
      <c r="K10" s="98"/>
      <c r="L10" s="99"/>
      <c r="M10" s="100"/>
      <c r="R10" s="97"/>
      <c r="S10" s="97"/>
    </row>
    <row r="11" spans="2:19" ht="15.75" x14ac:dyDescent="0.2">
      <c r="B11" s="351" t="s">
        <v>466</v>
      </c>
      <c r="C11" s="352"/>
      <c r="D11" s="353"/>
      <c r="E11" s="353"/>
      <c r="F11" s="353"/>
      <c r="G11" s="353"/>
      <c r="H11" s="354"/>
      <c r="I11" s="340"/>
      <c r="K11" s="101"/>
      <c r="L11" s="99"/>
      <c r="R11" s="97"/>
      <c r="S11" s="97"/>
    </row>
    <row r="12" spans="2:19" ht="15.75" x14ac:dyDescent="0.2">
      <c r="B12" s="355" t="s">
        <v>467</v>
      </c>
      <c r="C12" s="356">
        <f>'YSM-YM Clinical Plan'!C32</f>
        <v>0</v>
      </c>
      <c r="D12" s="356">
        <f>'YSM-YM Clinical Plan'!D32</f>
        <v>0</v>
      </c>
      <c r="E12" s="356">
        <f>'YSM-YM Clinical Plan'!E32</f>
        <v>0</v>
      </c>
      <c r="F12" s="357" t="e">
        <f>+#REF!</f>
        <v>#REF!</v>
      </c>
      <c r="G12" s="357" t="e">
        <f>+#REF!</f>
        <v>#REF!</v>
      </c>
      <c r="H12" s="358">
        <f>SUM(C12:E12)</f>
        <v>0</v>
      </c>
      <c r="I12" s="359"/>
      <c r="R12" s="97"/>
      <c r="S12" s="97"/>
    </row>
    <row r="13" spans="2:19" ht="6" customHeight="1" x14ac:dyDescent="0.2">
      <c r="B13" s="360"/>
      <c r="C13" s="361"/>
      <c r="D13" s="361"/>
      <c r="E13" s="360"/>
      <c r="F13" s="360"/>
      <c r="G13" s="360"/>
      <c r="H13" s="362"/>
      <c r="I13" s="363"/>
      <c r="R13" s="97"/>
      <c r="S13" s="97"/>
    </row>
    <row r="14" spans="2:19" ht="15.75" x14ac:dyDescent="0.2">
      <c r="B14" s="351" t="s">
        <v>468</v>
      </c>
      <c r="C14" s="364"/>
      <c r="D14" s="365"/>
      <c r="E14" s="365"/>
      <c r="F14" s="365"/>
      <c r="G14" s="365"/>
      <c r="H14" s="366"/>
      <c r="I14" s="340"/>
      <c r="R14" s="97"/>
      <c r="S14" s="97"/>
    </row>
    <row r="15" spans="2:19" ht="15.75" x14ac:dyDescent="0.2">
      <c r="B15" s="355" t="s">
        <v>469</v>
      </c>
      <c r="C15" s="356">
        <f>'YSM-YM Clinical Plan'!C47</f>
        <v>0</v>
      </c>
      <c r="D15" s="356">
        <f>'YSM-YM Clinical Plan'!D47</f>
        <v>0</v>
      </c>
      <c r="E15" s="356">
        <f>'YSM-YM Clinical Plan'!E47</f>
        <v>0</v>
      </c>
      <c r="F15" s="357"/>
      <c r="G15" s="357"/>
      <c r="H15" s="358">
        <f>+SUM(C15:G15)</f>
        <v>0</v>
      </c>
      <c r="I15" s="359"/>
      <c r="R15" s="97"/>
      <c r="S15" s="97"/>
    </row>
    <row r="16" spans="2:19" ht="15.75" x14ac:dyDescent="0.2">
      <c r="B16" s="355" t="s">
        <v>470</v>
      </c>
      <c r="C16" s="356">
        <f>'YSM-YM Clinical Plan'!C51+'YSM-YM Clinical Plan'!C52</f>
        <v>0</v>
      </c>
      <c r="D16" s="356">
        <f>'YSM-YM Clinical Plan'!D51+'YSM-YM Clinical Plan'!D52</f>
        <v>0</v>
      </c>
      <c r="E16" s="356">
        <f>'YSM-YM Clinical Plan'!E51+'YSM-YM Clinical Plan'!E52</f>
        <v>0</v>
      </c>
      <c r="F16" s="357"/>
      <c r="G16" s="357"/>
      <c r="H16" s="358">
        <f>+SUM(C16:G16)</f>
        <v>0</v>
      </c>
      <c r="I16" s="359"/>
    </row>
    <row r="17" spans="2:9" ht="15.75" x14ac:dyDescent="0.2">
      <c r="B17" s="355" t="s">
        <v>471</v>
      </c>
      <c r="C17" s="356">
        <f>'YSM-YM Clinical Plan'!C53+'YSM-YM Clinical Plan'!C54+'YSM-YM Clinical Plan'!C55</f>
        <v>0</v>
      </c>
      <c r="D17" s="356">
        <f>'YSM-YM Clinical Plan'!D53+'YSM-YM Clinical Plan'!D54+'YSM-YM Clinical Plan'!D55</f>
        <v>0</v>
      </c>
      <c r="E17" s="356">
        <f>'YSM-YM Clinical Plan'!E53+'YSM-YM Clinical Plan'!E54+'YSM-YM Clinical Plan'!E55</f>
        <v>0</v>
      </c>
      <c r="F17" s="357"/>
      <c r="G17" s="357"/>
      <c r="H17" s="358">
        <f t="shared" ref="H17" si="0">+SUM(C17:G17)</f>
        <v>0</v>
      </c>
      <c r="I17" s="367"/>
    </row>
    <row r="18" spans="2:9" ht="15.75" x14ac:dyDescent="0.2">
      <c r="B18" s="355" t="s">
        <v>472</v>
      </c>
      <c r="C18" s="368">
        <f>'YSM-YM Clinical Plan'!C56</f>
        <v>0</v>
      </c>
      <c r="D18" s="368">
        <f>'YSM-YM Clinical Plan'!D56</f>
        <v>0</v>
      </c>
      <c r="E18" s="368">
        <f>'YSM-YM Clinical Plan'!E56</f>
        <v>0</v>
      </c>
      <c r="F18" s="369"/>
      <c r="G18" s="369"/>
      <c r="H18" s="358">
        <f>+SUM(C18:G18)</f>
        <v>0</v>
      </c>
      <c r="I18" s="370"/>
    </row>
    <row r="19" spans="2:9" ht="6" customHeight="1" x14ac:dyDescent="0.2">
      <c r="B19" s="360"/>
      <c r="C19" s="361"/>
      <c r="D19" s="361"/>
      <c r="E19" s="361"/>
      <c r="F19" s="360"/>
      <c r="G19" s="360"/>
      <c r="H19" s="362"/>
      <c r="I19" s="363"/>
    </row>
    <row r="20" spans="2:9" ht="15.75" x14ac:dyDescent="0.2">
      <c r="B20" s="355" t="s">
        <v>473</v>
      </c>
      <c r="C20" s="356">
        <f>SUM('YSM-YM Clinical Plan'!C57:C60)</f>
        <v>0</v>
      </c>
      <c r="D20" s="356">
        <f>SUM('YSM-YM Clinical Plan'!D57:D60)</f>
        <v>0</v>
      </c>
      <c r="E20" s="356">
        <f>SUM('YSM-YM Clinical Plan'!E57:E60)</f>
        <v>0</v>
      </c>
      <c r="F20" s="357"/>
      <c r="G20" s="357"/>
      <c r="H20" s="358">
        <f>+SUM(C20:G20)</f>
        <v>0</v>
      </c>
      <c r="I20" s="359"/>
    </row>
    <row r="21" spans="2:9" ht="15.75" x14ac:dyDescent="0.2">
      <c r="B21" s="355" t="s">
        <v>210</v>
      </c>
      <c r="C21" s="356">
        <f>C15+C16+C17+C18+C20</f>
        <v>0</v>
      </c>
      <c r="D21" s="356">
        <f>D15+D16+D17+D18+D20</f>
        <v>0</v>
      </c>
      <c r="E21" s="356">
        <f>E15+E16+E17+E18+E20</f>
        <v>0</v>
      </c>
      <c r="F21" s="357">
        <f t="shared" ref="F21:G21" si="1">F15+F16+F17+F20</f>
        <v>0</v>
      </c>
      <c r="G21" s="357">
        <f t="shared" si="1"/>
        <v>0</v>
      </c>
      <c r="H21" s="358">
        <f>+SUM(C21:G21)</f>
        <v>0</v>
      </c>
      <c r="I21" s="359"/>
    </row>
    <row r="22" spans="2:9" ht="6" customHeight="1" x14ac:dyDescent="0.2">
      <c r="B22" s="371"/>
      <c r="C22" s="372"/>
      <c r="D22" s="372"/>
      <c r="E22" s="371"/>
      <c r="F22" s="371"/>
      <c r="G22" s="371"/>
      <c r="H22" s="373"/>
      <c r="I22" s="344"/>
    </row>
    <row r="23" spans="2:9" ht="16.5" thickBot="1" x14ac:dyDescent="0.25">
      <c r="B23" s="374" t="s">
        <v>474</v>
      </c>
      <c r="C23" s="375">
        <f>C12-C21</f>
        <v>0</v>
      </c>
      <c r="D23" s="376">
        <f>D12-D21</f>
        <v>0</v>
      </c>
      <c r="E23" s="376">
        <f>E12-E21</f>
        <v>0</v>
      </c>
      <c r="F23" s="376" t="e">
        <f>F12-F21</f>
        <v>#REF!</v>
      </c>
      <c r="G23" s="376" t="e">
        <f>G12-G21</f>
        <v>#REF!</v>
      </c>
      <c r="H23" s="377">
        <f>SUM(C23:E23)</f>
        <v>0</v>
      </c>
      <c r="I23" s="378"/>
    </row>
    <row r="24" spans="2:9" ht="6" customHeight="1" thickTop="1" x14ac:dyDescent="0.2">
      <c r="B24" s="379"/>
      <c r="C24" s="380"/>
      <c r="D24" s="380"/>
      <c r="E24" s="380"/>
      <c r="F24" s="380"/>
      <c r="G24" s="380"/>
      <c r="H24" s="381"/>
      <c r="I24" s="382"/>
    </row>
    <row r="25" spans="2:9" ht="15.75" x14ac:dyDescent="0.25">
      <c r="B25" s="329" t="s">
        <v>475</v>
      </c>
      <c r="C25" s="383">
        <f>'YSM-YM Clinical Plan'!C76</f>
        <v>0</v>
      </c>
      <c r="D25" s="383">
        <f>'YSM-YM Clinical Plan'!D76</f>
        <v>0</v>
      </c>
      <c r="E25" s="383">
        <f>'YSM-YM Clinical Plan'!E76</f>
        <v>0</v>
      </c>
      <c r="F25" s="383"/>
      <c r="G25" s="383"/>
      <c r="H25" s="384">
        <f>SUM(C25:E25)</f>
        <v>0</v>
      </c>
      <c r="I25" s="385"/>
    </row>
    <row r="26" spans="2:9" ht="15.75" x14ac:dyDescent="0.25">
      <c r="B26" s="329" t="s">
        <v>476</v>
      </c>
      <c r="C26" s="383">
        <f>'YSM-YM Clinical Plan'!C78+'YSM-YM Clinical Plan'!C79+'YSM-YM Clinical Plan'!C80</f>
        <v>0</v>
      </c>
      <c r="D26" s="383">
        <f>'YSM-YM Clinical Plan'!D78+'YSM-YM Clinical Plan'!D79+'YSM-YM Clinical Plan'!D80</f>
        <v>0</v>
      </c>
      <c r="E26" s="383">
        <f>'YSM-YM Clinical Plan'!E78+'YSM-YM Clinical Plan'!E79+'YSM-YM Clinical Plan'!E80</f>
        <v>0</v>
      </c>
      <c r="F26" s="383"/>
      <c r="G26" s="383"/>
      <c r="H26" s="384">
        <f>SUM(C26:E26)</f>
        <v>0</v>
      </c>
      <c r="I26" s="385"/>
    </row>
    <row r="27" spans="2:9" ht="4.5" customHeight="1" x14ac:dyDescent="0.25">
      <c r="B27" s="329"/>
      <c r="C27" s="386"/>
      <c r="D27" s="386"/>
      <c r="E27" s="386"/>
      <c r="F27" s="386"/>
      <c r="G27" s="386"/>
      <c r="H27" s="387"/>
      <c r="I27" s="385"/>
    </row>
    <row r="28" spans="2:9" ht="16.5" thickBot="1" x14ac:dyDescent="0.25">
      <c r="B28" s="374" t="s">
        <v>477</v>
      </c>
      <c r="C28" s="375">
        <f>'YSM-YM Clinical Plan'!C82</f>
        <v>0</v>
      </c>
      <c r="D28" s="375">
        <f>'YSM-YM Clinical Plan'!D82</f>
        <v>0</v>
      </c>
      <c r="E28" s="375">
        <f>'YSM-YM Clinical Plan'!E82</f>
        <v>0</v>
      </c>
      <c r="F28" s="376" t="e">
        <f>+IF(F23&lt;1,F23*1.15,F23)</f>
        <v>#REF!</v>
      </c>
      <c r="G28" s="376" t="e">
        <f>+IF(G23&lt;1,G23*1.15,G23)</f>
        <v>#REF!</v>
      </c>
      <c r="H28" s="377">
        <f>SUM(C28:E28)</f>
        <v>0</v>
      </c>
      <c r="I28" s="378"/>
    </row>
    <row r="29" spans="2:9" ht="6.75" customHeight="1" thickTop="1" thickBot="1" x14ac:dyDescent="0.3">
      <c r="B29" s="385"/>
      <c r="C29" s="385"/>
      <c r="D29" s="385"/>
      <c r="E29" s="385"/>
      <c r="F29" s="385"/>
      <c r="G29" s="385"/>
      <c r="H29" s="388"/>
      <c r="I29" s="385"/>
    </row>
    <row r="32" spans="2:9" x14ac:dyDescent="0.25">
      <c r="H32" s="389"/>
    </row>
  </sheetData>
  <sheetProtection algorithmName="SHA-512" hashValue="YfplPilbBsl04j+usfaKkcXt1m2pQJjlBuS1rCHp7DHzP/w+sAC+ghLakdnWMQyQsNF0+hkiDYnQvr64o75JNw==" saltValue="BqEpe3qNW0AfZuGQe5Pkyg==" spinCount="100000" sheet="1" objects="1" scenarios="1"/>
  <pageMargins left="0.7" right="0.7" top="0.75" bottom="0.75" header="0.3" footer="0.3"/>
  <pageSetup scale="65" orientation="landscape" r:id="rId1"/>
  <headerFooter>
    <oddFooter>&amp;L&amp;8&amp;F
&amp;A&amp;C&amp;"-,Bold"&amp;8- - - CONFIDENTIAL - - -&amp;R&amp;8Page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B1:BD48"/>
  <sheetViews>
    <sheetView zoomScale="85" zoomScaleNormal="85" workbookViewId="0">
      <pane ySplit="8" topLeftCell="A9" activePane="bottomLeft" state="frozen"/>
      <selection activeCell="A63" sqref="A63:E64"/>
      <selection pane="bottomLeft" activeCell="B39" sqref="B39"/>
    </sheetView>
  </sheetViews>
  <sheetFormatPr defaultColWidth="8.85546875" defaultRowHeight="15.75" x14ac:dyDescent="0.25"/>
  <cols>
    <col min="1" max="1" width="1.7109375" style="116" customWidth="1"/>
    <col min="2" max="2" width="27.28515625" style="5" bestFit="1" customWidth="1"/>
    <col min="3" max="3" width="25.85546875" style="5" bestFit="1" customWidth="1"/>
    <col min="4" max="4" width="17.85546875" style="5" customWidth="1"/>
    <col min="5" max="5" width="13.5703125" style="487" customWidth="1"/>
    <col min="6" max="6" width="18.28515625" style="488" bestFit="1" customWidth="1"/>
    <col min="7" max="7" width="16" style="489" customWidth="1"/>
    <col min="8" max="10" width="15.7109375" style="319" customWidth="1"/>
    <col min="11" max="11" width="16.7109375" style="490" bestFit="1" customWidth="1"/>
    <col min="12" max="14" width="15.7109375" style="490" hidden="1" customWidth="1"/>
    <col min="15" max="15" width="16.7109375" style="490" bestFit="1" customWidth="1"/>
    <col min="16" max="18" width="15.7109375" style="490" hidden="1" customWidth="1"/>
    <col min="19" max="19" width="15.7109375" style="490" customWidth="1"/>
    <col min="20" max="20" width="19.28515625" style="489" bestFit="1" customWidth="1"/>
    <col min="21" max="21" width="15.85546875" style="489" customWidth="1"/>
    <col min="22" max="24" width="15.7109375" style="319" customWidth="1"/>
    <col min="25" max="25" width="16.7109375" style="490" bestFit="1" customWidth="1"/>
    <col min="26" max="28" width="15.7109375" style="490" hidden="1" customWidth="1"/>
    <col min="29" max="29" width="16.7109375" style="490" bestFit="1" customWidth="1"/>
    <col min="30" max="32" width="15.7109375" style="490" hidden="1" customWidth="1"/>
    <col min="33" max="33" width="15.7109375" style="490" customWidth="1"/>
    <col min="34" max="34" width="19.28515625" style="489" bestFit="1" customWidth="1"/>
    <col min="35" max="35" width="15.85546875" style="489" customWidth="1"/>
    <col min="36" max="36" width="15.7109375" style="319" customWidth="1"/>
    <col min="37" max="38" width="16" style="319" customWidth="1"/>
    <col min="39" max="39" width="16.7109375" style="490" bestFit="1" customWidth="1"/>
    <col min="40" max="42" width="15.7109375" style="490" hidden="1" customWidth="1"/>
    <col min="43" max="43" width="16.7109375" style="490" bestFit="1" customWidth="1"/>
    <col min="44" max="46" width="15.7109375" style="490" hidden="1" customWidth="1"/>
    <col min="47" max="47" width="15.7109375" style="490" customWidth="1"/>
    <col min="48" max="48" width="21.5703125" style="319" bestFit="1" customWidth="1"/>
    <col min="49" max="49" width="1.85546875" style="116" customWidth="1"/>
    <col min="50" max="50" width="8.85546875" style="116"/>
    <col min="51" max="51" width="12.5703125" style="116" hidden="1" customWidth="1"/>
    <col min="52" max="52" width="11.7109375" style="116" hidden="1" customWidth="1"/>
    <col min="53" max="53" width="12.5703125" style="116" hidden="1" customWidth="1"/>
    <col min="54" max="54" width="14.28515625" style="116" bestFit="1" customWidth="1"/>
    <col min="55" max="55" width="12.5703125" style="116" bestFit="1" customWidth="1"/>
    <col min="56" max="56" width="11.5703125" style="116" bestFit="1" customWidth="1"/>
    <col min="57" max="16384" width="8.85546875" style="116"/>
  </cols>
  <sheetData>
    <row r="1" spans="2:56" s="226" customFormat="1" ht="15.75" customHeight="1" x14ac:dyDescent="0.25">
      <c r="B1" s="83"/>
      <c r="C1" s="83"/>
      <c r="D1" s="390"/>
      <c r="E1" s="391"/>
      <c r="F1" s="392"/>
      <c r="G1" s="393"/>
      <c r="H1" s="394"/>
      <c r="I1" s="395"/>
      <c r="J1" s="395"/>
      <c r="K1" s="396"/>
      <c r="L1" s="396"/>
      <c r="M1" s="396"/>
      <c r="N1" s="396"/>
      <c r="O1" s="396"/>
      <c r="P1" s="396"/>
      <c r="Q1" s="396"/>
      <c r="R1" s="396"/>
      <c r="S1" s="396"/>
      <c r="T1" s="397"/>
      <c r="U1" s="397"/>
      <c r="V1" s="395"/>
      <c r="W1" s="395"/>
      <c r="X1" s="395"/>
      <c r="Y1" s="396"/>
      <c r="Z1" s="396"/>
      <c r="AA1" s="396"/>
      <c r="AB1" s="396"/>
      <c r="AC1" s="396"/>
      <c r="AD1" s="396"/>
      <c r="AE1" s="396"/>
      <c r="AF1" s="396"/>
      <c r="AG1" s="396"/>
      <c r="AH1" s="397"/>
      <c r="AI1" s="397"/>
      <c r="AJ1" s="395"/>
      <c r="AK1" s="395"/>
      <c r="AL1" s="395"/>
      <c r="AM1" s="396"/>
      <c r="AN1" s="396"/>
      <c r="AO1" s="396"/>
      <c r="AP1" s="396"/>
      <c r="AQ1" s="396"/>
      <c r="AR1" s="396"/>
      <c r="AS1" s="396"/>
      <c r="AT1" s="396"/>
      <c r="AU1" s="396"/>
      <c r="AV1" s="395"/>
    </row>
    <row r="2" spans="2:56" s="226" customFormat="1" x14ac:dyDescent="0.25">
      <c r="B2" s="83"/>
      <c r="C2" s="83"/>
      <c r="D2" s="83"/>
      <c r="E2" s="391"/>
      <c r="F2" s="392"/>
      <c r="G2" s="397"/>
      <c r="H2" s="395"/>
      <c r="I2" s="395"/>
      <c r="J2" s="395"/>
      <c r="K2" s="396"/>
      <c r="L2" s="396"/>
      <c r="M2" s="396"/>
      <c r="N2" s="396"/>
      <c r="O2" s="396"/>
      <c r="P2" s="396"/>
      <c r="Q2" s="396"/>
      <c r="R2" s="396"/>
      <c r="S2" s="396"/>
      <c r="T2" s="397"/>
      <c r="U2" s="397"/>
      <c r="V2" s="395"/>
      <c r="W2" s="395"/>
      <c r="X2" s="395"/>
      <c r="Y2" s="396"/>
      <c r="Z2" s="396"/>
      <c r="AA2" s="396"/>
      <c r="AB2" s="396"/>
      <c r="AC2" s="396"/>
      <c r="AD2" s="396"/>
      <c r="AE2" s="396"/>
      <c r="AF2" s="396"/>
      <c r="AG2" s="396"/>
      <c r="AH2" s="397"/>
      <c r="AI2" s="397"/>
      <c r="AJ2" s="395"/>
      <c r="AK2" s="395"/>
      <c r="AL2" s="395"/>
      <c r="AM2" s="396"/>
      <c r="AN2" s="396"/>
      <c r="AO2" s="396"/>
      <c r="AP2" s="396"/>
      <c r="AQ2" s="396"/>
      <c r="AR2" s="396"/>
      <c r="AS2" s="396"/>
      <c r="AT2" s="396"/>
      <c r="AU2" s="396"/>
      <c r="AV2" s="395"/>
    </row>
    <row r="3" spans="2:56" s="226" customFormat="1" ht="15.75" customHeight="1" x14ac:dyDescent="0.25">
      <c r="B3" s="83"/>
      <c r="C3" s="83"/>
      <c r="D3" s="83"/>
      <c r="E3" s="391"/>
      <c r="F3" s="392"/>
      <c r="G3" s="398" t="s">
        <v>612</v>
      </c>
      <c r="H3" s="399"/>
      <c r="I3" s="399"/>
      <c r="J3" s="399"/>
      <c r="K3" s="400"/>
      <c r="L3" s="396"/>
      <c r="M3" s="396"/>
      <c r="N3" s="396"/>
      <c r="O3" s="396"/>
      <c r="P3" s="396"/>
      <c r="Q3" s="396"/>
      <c r="R3" s="396"/>
      <c r="S3" s="396"/>
      <c r="T3" s="397"/>
      <c r="U3" s="397"/>
      <c r="V3" s="401"/>
      <c r="W3" s="395"/>
      <c r="X3" s="395"/>
      <c r="Y3" s="396"/>
      <c r="Z3" s="396"/>
      <c r="AA3" s="396"/>
      <c r="AB3" s="396"/>
      <c r="AC3" s="396"/>
      <c r="AD3" s="396"/>
      <c r="AE3" s="396"/>
      <c r="AF3" s="396"/>
      <c r="AG3" s="396"/>
      <c r="AH3" s="397"/>
      <c r="AI3" s="397"/>
      <c r="AJ3" s="395"/>
      <c r="AK3" s="395"/>
      <c r="AL3" s="395"/>
      <c r="AM3" s="396"/>
      <c r="AN3" s="396"/>
      <c r="AO3" s="396"/>
      <c r="AP3" s="396"/>
      <c r="AQ3" s="396"/>
      <c r="AR3" s="396"/>
      <c r="AS3" s="396"/>
      <c r="AT3" s="396"/>
      <c r="AU3" s="396"/>
      <c r="AV3" s="395"/>
    </row>
    <row r="4" spans="2:56" s="226" customFormat="1" x14ac:dyDescent="0.25">
      <c r="B4" s="83"/>
      <c r="C4" s="83"/>
      <c r="D4" s="83"/>
      <c r="E4" s="391"/>
      <c r="F4" s="392"/>
      <c r="G4" s="398" t="s">
        <v>614</v>
      </c>
      <c r="H4" s="402"/>
      <c r="I4" s="403"/>
      <c r="J4" s="403"/>
      <c r="K4" s="404"/>
      <c r="L4" s="396"/>
      <c r="M4" s="396"/>
      <c r="N4" s="396"/>
      <c r="O4" s="396"/>
      <c r="P4" s="396"/>
      <c r="Q4" s="396"/>
      <c r="R4" s="396"/>
      <c r="S4" s="396"/>
      <c r="T4" s="397"/>
      <c r="U4" s="397"/>
      <c r="V4" s="401"/>
      <c r="W4" s="395"/>
      <c r="X4" s="395"/>
      <c r="Y4" s="396"/>
      <c r="Z4" s="396"/>
      <c r="AA4" s="396"/>
      <c r="AB4" s="396"/>
      <c r="AC4" s="396"/>
      <c r="AD4" s="396"/>
      <c r="AE4" s="396"/>
      <c r="AF4" s="396"/>
      <c r="AG4" s="396"/>
      <c r="AH4" s="397"/>
      <c r="AI4" s="397"/>
      <c r="AJ4" s="395"/>
      <c r="AK4" s="395"/>
      <c r="AL4" s="395"/>
      <c r="AM4" s="396"/>
      <c r="AN4" s="396"/>
      <c r="AO4" s="396"/>
      <c r="AP4" s="396"/>
      <c r="AQ4" s="396"/>
      <c r="AR4" s="396"/>
      <c r="AS4" s="396"/>
      <c r="AT4" s="396"/>
      <c r="AU4" s="396"/>
      <c r="AV4" s="395"/>
    </row>
    <row r="5" spans="2:56" s="226" customFormat="1" ht="16.5" customHeight="1" thickBot="1" x14ac:dyDescent="0.3">
      <c r="B5" s="405" t="s">
        <v>221</v>
      </c>
      <c r="C5" s="83"/>
      <c r="D5" s="83"/>
      <c r="E5" s="391"/>
      <c r="F5" s="392"/>
      <c r="G5" s="397"/>
      <c r="H5" s="395"/>
      <c r="I5" s="395"/>
      <c r="J5" s="395"/>
      <c r="K5" s="396"/>
      <c r="L5" s="396"/>
      <c r="M5" s="396"/>
      <c r="N5" s="396"/>
      <c r="O5" s="396"/>
      <c r="P5" s="396"/>
      <c r="Q5" s="396"/>
      <c r="R5" s="396"/>
      <c r="S5" s="396"/>
      <c r="T5" s="397"/>
      <c r="U5" s="397"/>
      <c r="V5" s="395"/>
      <c r="W5" s="395"/>
      <c r="X5" s="395"/>
      <c r="Y5" s="396"/>
      <c r="Z5" s="396"/>
      <c r="AA5" s="396"/>
      <c r="AB5" s="396"/>
      <c r="AC5" s="396"/>
      <c r="AD5" s="396"/>
      <c r="AE5" s="396"/>
      <c r="AF5" s="396"/>
      <c r="AG5" s="396"/>
      <c r="AH5" s="397"/>
      <c r="AI5" s="397"/>
      <c r="AJ5" s="395"/>
      <c r="AK5" s="395"/>
      <c r="AL5" s="395"/>
      <c r="AM5" s="396"/>
      <c r="AN5" s="396"/>
      <c r="AO5" s="396"/>
      <c r="AP5" s="396"/>
      <c r="AQ5" s="396"/>
      <c r="AR5" s="396"/>
      <c r="AS5" s="396"/>
      <c r="AT5" s="396"/>
      <c r="AU5" s="396"/>
      <c r="AV5" s="395"/>
    </row>
    <row r="6" spans="2:56" s="226" customFormat="1" ht="20.25" thickBot="1" x14ac:dyDescent="0.35">
      <c r="B6" s="405"/>
      <c r="C6" s="83"/>
      <c r="D6" s="406" t="s">
        <v>444</v>
      </c>
      <c r="E6" s="391"/>
      <c r="F6" s="614" t="s">
        <v>215</v>
      </c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6"/>
      <c r="T6" s="614" t="s">
        <v>216</v>
      </c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6"/>
      <c r="AH6" s="615" t="s">
        <v>217</v>
      </c>
      <c r="AI6" s="615"/>
      <c r="AJ6" s="615"/>
      <c r="AK6" s="615"/>
      <c r="AL6" s="615"/>
      <c r="AM6" s="615"/>
      <c r="AN6" s="615"/>
      <c r="AO6" s="615"/>
      <c r="AP6" s="615"/>
      <c r="AQ6" s="615"/>
      <c r="AR6" s="615"/>
      <c r="AS6" s="615"/>
      <c r="AT6" s="615"/>
      <c r="AU6" s="616"/>
      <c r="AV6" s="407"/>
    </row>
    <row r="7" spans="2:56" s="226" customFormat="1" ht="15.75" customHeight="1" x14ac:dyDescent="0.25">
      <c r="B7" s="408"/>
      <c r="C7" s="409" t="s">
        <v>158</v>
      </c>
      <c r="D7" s="409" t="s">
        <v>389</v>
      </c>
      <c r="E7" s="409" t="s">
        <v>287</v>
      </c>
      <c r="F7" s="410" t="s">
        <v>605</v>
      </c>
      <c r="G7" s="617" t="s">
        <v>606</v>
      </c>
      <c r="H7" s="411" t="s">
        <v>607</v>
      </c>
      <c r="I7" s="411"/>
      <c r="J7" s="411"/>
      <c r="K7" s="412" t="s">
        <v>215</v>
      </c>
      <c r="L7" s="411" t="s">
        <v>609</v>
      </c>
      <c r="M7" s="411" t="s">
        <v>609</v>
      </c>
      <c r="N7" s="411" t="s">
        <v>609</v>
      </c>
      <c r="O7" s="411" t="s">
        <v>609</v>
      </c>
      <c r="P7" s="411" t="s">
        <v>79</v>
      </c>
      <c r="Q7" s="411" t="s">
        <v>79</v>
      </c>
      <c r="R7" s="411" t="s">
        <v>79</v>
      </c>
      <c r="S7" s="412" t="s">
        <v>79</v>
      </c>
      <c r="T7" s="410" t="s">
        <v>605</v>
      </c>
      <c r="U7" s="617" t="s">
        <v>606</v>
      </c>
      <c r="V7" s="411"/>
      <c r="W7" s="413"/>
      <c r="X7" s="413"/>
      <c r="Y7" s="412" t="s">
        <v>216</v>
      </c>
      <c r="Z7" s="411" t="s">
        <v>609</v>
      </c>
      <c r="AA7" s="411" t="s">
        <v>609</v>
      </c>
      <c r="AB7" s="411" t="s">
        <v>609</v>
      </c>
      <c r="AC7" s="411" t="s">
        <v>609</v>
      </c>
      <c r="AD7" s="411" t="s">
        <v>79</v>
      </c>
      <c r="AE7" s="411" t="s">
        <v>79</v>
      </c>
      <c r="AF7" s="411" t="s">
        <v>79</v>
      </c>
      <c r="AG7" s="412" t="s">
        <v>79</v>
      </c>
      <c r="AH7" s="410" t="s">
        <v>605</v>
      </c>
      <c r="AI7" s="617" t="s">
        <v>606</v>
      </c>
      <c r="AJ7" s="411"/>
      <c r="AK7" s="414"/>
      <c r="AL7" s="414"/>
      <c r="AM7" s="412" t="s">
        <v>217</v>
      </c>
      <c r="AN7" s="415" t="s">
        <v>609</v>
      </c>
      <c r="AO7" s="411" t="s">
        <v>609</v>
      </c>
      <c r="AP7" s="411" t="s">
        <v>609</v>
      </c>
      <c r="AQ7" s="411" t="s">
        <v>609</v>
      </c>
      <c r="AR7" s="411" t="s">
        <v>79</v>
      </c>
      <c r="AS7" s="411" t="s">
        <v>79</v>
      </c>
      <c r="AT7" s="411" t="s">
        <v>79</v>
      </c>
      <c r="AU7" s="412" t="s">
        <v>79</v>
      </c>
      <c r="AV7" s="412" t="s">
        <v>220</v>
      </c>
    </row>
    <row r="8" spans="2:56" s="226" customFormat="1" ht="19.5" thickBot="1" x14ac:dyDescent="0.3">
      <c r="B8" s="416" t="s">
        <v>166</v>
      </c>
      <c r="C8" s="417" t="s">
        <v>621</v>
      </c>
      <c r="D8" s="417" t="s">
        <v>390</v>
      </c>
      <c r="E8" s="417" t="s">
        <v>288</v>
      </c>
      <c r="F8" s="418" t="s">
        <v>613</v>
      </c>
      <c r="G8" s="618"/>
      <c r="H8" s="419" t="s">
        <v>608</v>
      </c>
      <c r="I8" s="420" t="s">
        <v>34</v>
      </c>
      <c r="J8" s="420" t="s">
        <v>494</v>
      </c>
      <c r="K8" s="421" t="s">
        <v>219</v>
      </c>
      <c r="L8" s="420" t="s">
        <v>610</v>
      </c>
      <c r="M8" s="420" t="s">
        <v>34</v>
      </c>
      <c r="N8" s="420" t="s">
        <v>494</v>
      </c>
      <c r="O8" s="420" t="s">
        <v>26</v>
      </c>
      <c r="P8" s="420" t="s">
        <v>610</v>
      </c>
      <c r="Q8" s="420" t="s">
        <v>34</v>
      </c>
      <c r="R8" s="420" t="s">
        <v>494</v>
      </c>
      <c r="S8" s="421" t="s">
        <v>26</v>
      </c>
      <c r="T8" s="418" t="s">
        <v>613</v>
      </c>
      <c r="U8" s="618"/>
      <c r="V8" s="419" t="s">
        <v>659</v>
      </c>
      <c r="W8" s="420" t="s">
        <v>34</v>
      </c>
      <c r="X8" s="420" t="s">
        <v>494</v>
      </c>
      <c r="Y8" s="421" t="s">
        <v>219</v>
      </c>
      <c r="Z8" s="420" t="s">
        <v>610</v>
      </c>
      <c r="AA8" s="420" t="s">
        <v>34</v>
      </c>
      <c r="AB8" s="420" t="s">
        <v>494</v>
      </c>
      <c r="AC8" s="420" t="s">
        <v>26</v>
      </c>
      <c r="AD8" s="420" t="s">
        <v>610</v>
      </c>
      <c r="AE8" s="420" t="s">
        <v>34</v>
      </c>
      <c r="AF8" s="420" t="s">
        <v>494</v>
      </c>
      <c r="AG8" s="421" t="s">
        <v>26</v>
      </c>
      <c r="AH8" s="418" t="s">
        <v>613</v>
      </c>
      <c r="AI8" s="618"/>
      <c r="AJ8" s="419" t="s">
        <v>659</v>
      </c>
      <c r="AK8" s="420" t="s">
        <v>34</v>
      </c>
      <c r="AL8" s="420" t="s">
        <v>494</v>
      </c>
      <c r="AM8" s="421" t="s">
        <v>219</v>
      </c>
      <c r="AN8" s="422" t="s">
        <v>610</v>
      </c>
      <c r="AO8" s="420" t="s">
        <v>34</v>
      </c>
      <c r="AP8" s="420" t="s">
        <v>494</v>
      </c>
      <c r="AQ8" s="420" t="s">
        <v>26</v>
      </c>
      <c r="AR8" s="420" t="s">
        <v>610</v>
      </c>
      <c r="AS8" s="420" t="s">
        <v>34</v>
      </c>
      <c r="AT8" s="420" t="s">
        <v>494</v>
      </c>
      <c r="AU8" s="421" t="s">
        <v>26</v>
      </c>
      <c r="AV8" s="421" t="s">
        <v>611</v>
      </c>
    </row>
    <row r="9" spans="2:56" s="226" customFormat="1" ht="15.75" customHeight="1" x14ac:dyDescent="0.25">
      <c r="B9" s="423" t="s">
        <v>204</v>
      </c>
      <c r="C9" s="77"/>
      <c r="D9" s="77"/>
      <c r="E9" s="424"/>
      <c r="F9" s="425"/>
      <c r="G9" s="426"/>
      <c r="H9" s="396"/>
      <c r="I9" s="396"/>
      <c r="J9" s="396"/>
      <c r="K9" s="427"/>
      <c r="L9" s="396"/>
      <c r="M9" s="396"/>
      <c r="N9" s="396"/>
      <c r="O9" s="396"/>
      <c r="P9" s="396"/>
      <c r="Q9" s="396"/>
      <c r="R9" s="396"/>
      <c r="S9" s="427"/>
      <c r="T9" s="428"/>
      <c r="U9" s="426"/>
      <c r="V9" s="396"/>
      <c r="W9" s="396"/>
      <c r="X9" s="396"/>
      <c r="Y9" s="427"/>
      <c r="Z9" s="396"/>
      <c r="AA9" s="396"/>
      <c r="AB9" s="396"/>
      <c r="AC9" s="396"/>
      <c r="AD9" s="396"/>
      <c r="AE9" s="396"/>
      <c r="AF9" s="396"/>
      <c r="AG9" s="427"/>
      <c r="AH9" s="426"/>
      <c r="AI9" s="426"/>
      <c r="AJ9" s="396"/>
      <c r="AK9" s="396"/>
      <c r="AL9" s="396"/>
      <c r="AM9" s="427"/>
      <c r="AN9" s="429"/>
      <c r="AO9" s="396"/>
      <c r="AP9" s="396"/>
      <c r="AQ9" s="396"/>
      <c r="AR9" s="396"/>
      <c r="AS9" s="396"/>
      <c r="AT9" s="396"/>
      <c r="AU9" s="427"/>
      <c r="AV9" s="427"/>
    </row>
    <row r="10" spans="2:56" x14ac:dyDescent="0.25">
      <c r="B10" s="430"/>
      <c r="C10" s="431"/>
      <c r="D10" s="431" t="s">
        <v>393</v>
      </c>
      <c r="E10" s="432" t="s">
        <v>290</v>
      </c>
      <c r="F10" s="433"/>
      <c r="G10" s="431"/>
      <c r="H10" s="435"/>
      <c r="I10" s="396">
        <f>IF(D10="Non-Clinical",IF($E10="Yes",IF(H10&gt;Assumptions!$D$18,(Assumptions!$D$18*Assumptions!$D$8),H10*Assumptions!$D$8),IF(H10&gt;Assumptions!$D$18,(Assumptions!$D$18*Assumptions!$D$6)+(('Salary Build Sheet (Clinical)'!H10-Assumptions!$D$18)*Assumptions!$D$13),H10*Assumptions!$D$6)),IF($E10="Yes",IF(H10&gt;Assumptions!$D$18,(Assumptions!$D$18*Assumptions!$D$8),H10*Assumptions!$D$8),IF(H10&gt;Assumptions!$D$18,(Assumptions!$D$18*Assumptions!$D$7)+(('Salary Build Sheet (Clinical)'!H10-Assumptions!$D$18)*Assumptions!$D$14),H10*Assumptions!$D$7)))</f>
        <v>0</v>
      </c>
      <c r="J10" s="396">
        <f>IF(E10="Non-Clinical",IF($E10="Yes",IF(H10&gt;Assumptions!$D$18,(Assumptions!$D$18*0),H10*0),IF(H10&gt;Assumptions!$D$18,(Assumptions!$D$18*(Assumptions!$D$9+Assumptions!$D$10))+(('Salary Build Sheet (Clinical)'!H10-Assumptions!$D$18)*0),H10*(Assumptions!$D$9+Assumptions!$D$10))),IF($E10="Yes",IF(H10&gt;Assumptions!$D$18,(Assumptions!$D$18*0),H10*0),IF(H10&gt;Assumptions!$D$18,(Assumptions!$D$18*(Assumptions!$D$9+Assumptions!$D$10))+(('Salary Build Sheet (Clinical)'!H10-Assumptions!$D$18)*0),H10*(Assumptions!$D$9+Assumptions!$D$10))))</f>
        <v>0</v>
      </c>
      <c r="K10" s="427">
        <f>I10+H10+J10</f>
        <v>0</v>
      </c>
      <c r="L10" s="396">
        <f>H10*F10</f>
        <v>0</v>
      </c>
      <c r="M10" s="396">
        <f>I10*F10</f>
        <v>0</v>
      </c>
      <c r="N10" s="396">
        <f>J10*F10</f>
        <v>0</v>
      </c>
      <c r="O10" s="396">
        <f>SUM(L10:N10)</f>
        <v>0</v>
      </c>
      <c r="P10" s="396">
        <f>H10*G10</f>
        <v>0</v>
      </c>
      <c r="Q10" s="396">
        <f>I10*G10</f>
        <v>0</v>
      </c>
      <c r="R10" s="396">
        <f>J10*G10</f>
        <v>0</v>
      </c>
      <c r="S10" s="427">
        <f>SUM(P10:R10)</f>
        <v>0</v>
      </c>
      <c r="T10" s="433"/>
      <c r="U10" s="431"/>
      <c r="V10" s="435"/>
      <c r="W10" s="396">
        <f>IF(J10="Non-Clinical",IF($E10="Yes",IF(V10&gt;Assumptions!$D$18,(Assumptions!$D$18*Assumptions!$D$8),V10*Assumptions!$D$8),IF(V10&gt;Assumptions!$D$18,(Assumptions!$D$18*Assumptions!$D$6)+(('Salary Build Sheet (Clinical)'!V10-Assumptions!$D$18)*Assumptions!$D$13),V10*Assumptions!$D$6)),IF($E10="Yes",IF(V10&gt;Assumptions!$D$18,(Assumptions!$D$18*Assumptions!$D$8),V10*Assumptions!$D$8),IF(V10&gt;Assumptions!$D$18,(Assumptions!$D$18*Assumptions!$D$7)+(('Salary Build Sheet (Clinical)'!V10-Assumptions!$D$18)*Assumptions!$D$14),V10*Assumptions!$D$7)))</f>
        <v>0</v>
      </c>
      <c r="X10" s="396">
        <f>IF(K10="Non-Clinical",IF($E10="Yes",IF(V10&gt;Assumptions!$D$18,(Assumptions!$D$18*0),V10*0),IF(V10&gt;Assumptions!$D$18,(Assumptions!$D$18*(Assumptions!$D$9+Assumptions!$D$10))+(('Salary Build Sheet (Clinical)'!V10-Assumptions!$D$18)*0),V10*(Assumptions!$D$9+Assumptions!$D$10))),IF($E10="Yes",IF(V10&gt;Assumptions!$D$18,(Assumptions!$D$18*0),V10*0),IF(V10&gt;Assumptions!$D$18,(Assumptions!$D$18*(Assumptions!$D$9+Assumptions!$D$10))+(('Salary Build Sheet (Clinical)'!V10-Assumptions!$D$18)*0),V10*(Assumptions!$D$9+Assumptions!$D$10))))</f>
        <v>0</v>
      </c>
      <c r="Y10" s="427">
        <f>W10+V10+X10</f>
        <v>0</v>
      </c>
      <c r="Z10" s="396">
        <f>V10*T10</f>
        <v>0</v>
      </c>
      <c r="AA10" s="396">
        <f>W10*T10</f>
        <v>0</v>
      </c>
      <c r="AB10" s="396">
        <f>X10*T10</f>
        <v>0</v>
      </c>
      <c r="AC10" s="396">
        <f>SUM(Z10:AB10)</f>
        <v>0</v>
      </c>
      <c r="AD10" s="396">
        <f>V10*U10</f>
        <v>0</v>
      </c>
      <c r="AE10" s="396">
        <f>W10*U10</f>
        <v>0</v>
      </c>
      <c r="AF10" s="396">
        <f>X10*U10</f>
        <v>0</v>
      </c>
      <c r="AG10" s="427">
        <f>SUM(AD10:AF10)</f>
        <v>0</v>
      </c>
      <c r="AH10" s="433"/>
      <c r="AI10" s="431"/>
      <c r="AJ10" s="435"/>
      <c r="AK10" s="396">
        <f>IF(X10="Non-Clinical",IF($E10="Yes",IF(AJ10&gt;Assumptions!$D$18,(Assumptions!$D$18*Assumptions!$D$8),AJ10*Assumptions!$D$8),IF(AJ10&gt;Assumptions!$D$18,(Assumptions!$D$18*Assumptions!$D$6)+(('Salary Build Sheet (Clinical)'!AJ10-Assumptions!$D$18)*Assumptions!$D$13),AJ10*Assumptions!$D$6)),IF($E10="Yes",IF(AJ10&gt;Assumptions!$D$18,(Assumptions!$D$18*Assumptions!$D$8),AJ10*Assumptions!$D$8),IF(AJ10&gt;Assumptions!$D$18,(Assumptions!$D$18*Assumptions!$D$7)+(('Salary Build Sheet (Clinical)'!AJ10-Assumptions!$D$18)*Assumptions!$D$14),AJ10*Assumptions!$D$7)))</f>
        <v>0</v>
      </c>
      <c r="AL10" s="396">
        <f>IF(Y10="Non-Clinical",IF($E10="Yes",IF(AJ10&gt;Assumptions!$D$18,(Assumptions!$D$18*0),AJ10*0),IF(AJ10&gt;Assumptions!$D$18,(Assumptions!$D$18*(Assumptions!$D$9+Assumptions!$D$10))+(('Salary Build Sheet (Clinical)'!AJ10-Assumptions!$D$18)*0),AJ10*(Assumptions!$D$9+Assumptions!$D$10))),IF($E10="Yes",IF(AJ10&gt;Assumptions!$D$18,(Assumptions!$D$18*0),AJ10*0),IF(AJ10&gt;Assumptions!$D$18,(Assumptions!$D$18*(Assumptions!$D$9+Assumptions!$D$10))+(('Salary Build Sheet (Clinical)'!AJ10-Assumptions!$D$18)*0),AJ10*(Assumptions!$D$9+Assumptions!$D$10))))</f>
        <v>0</v>
      </c>
      <c r="AM10" s="427">
        <f>AK10+AJ10+AL10</f>
        <v>0</v>
      </c>
      <c r="AN10" s="429">
        <f t="shared" ref="AN10:AN16" si="0">AJ10*AH10</f>
        <v>0</v>
      </c>
      <c r="AO10" s="396">
        <f t="shared" ref="AO10:AO16" si="1">AK10*AH10</f>
        <v>0</v>
      </c>
      <c r="AP10" s="396">
        <f t="shared" ref="AP10:AP16" si="2">AL10*AH10</f>
        <v>0</v>
      </c>
      <c r="AQ10" s="396">
        <f>SUM(AN10:AP10)</f>
        <v>0</v>
      </c>
      <c r="AR10" s="396">
        <f>AJ10*AI10</f>
        <v>0</v>
      </c>
      <c r="AS10" s="396">
        <f>AK10*AI10</f>
        <v>0</v>
      </c>
      <c r="AT10" s="396">
        <f>AL10*AI10</f>
        <v>0</v>
      </c>
      <c r="AU10" s="427">
        <f>SUM(AR10:AT10)</f>
        <v>0</v>
      </c>
      <c r="AV10" s="427">
        <f t="shared" ref="AV10:AV16" si="3">AQ10+AC10+O10</f>
        <v>0</v>
      </c>
      <c r="AY10" s="229" t="str">
        <f>IF(G10&gt;0,(G10/#REF!)*H10," ")</f>
        <v xml:space="preserve"> </v>
      </c>
      <c r="AZ10" s="229" t="str">
        <f>IF(G10&gt;0,(G10/#REF!)*W10," ")</f>
        <v xml:space="preserve"> </v>
      </c>
      <c r="BA10" s="229">
        <f>SUM(AY10:AZ10)</f>
        <v>0</v>
      </c>
    </row>
    <row r="11" spans="2:56" ht="15.75" customHeight="1" x14ac:dyDescent="0.25">
      <c r="B11" s="430"/>
      <c r="C11" s="431"/>
      <c r="D11" s="431" t="s">
        <v>393</v>
      </c>
      <c r="E11" s="432" t="s">
        <v>290</v>
      </c>
      <c r="F11" s="433"/>
      <c r="G11" s="434"/>
      <c r="H11" s="435"/>
      <c r="I11" s="396">
        <f>IF(D11="Non-Clinical",IF($E11="Yes",IF(H11&gt;Assumptions!$D$18,(Assumptions!$D$18*Assumptions!$D$8),H11*Assumptions!$D$8),IF(H11&gt;Assumptions!$D$18,(Assumptions!$D$18*Assumptions!$D$6)+(('Salary Build Sheet (Clinical)'!H11-Assumptions!$D$18)*Assumptions!$D$13),H11*Assumptions!$D$6)),IF($E11="Yes",IF(H11&gt;Assumptions!$D$18,(Assumptions!$D$18*Assumptions!$D$8),H11*Assumptions!$D$8),IF(H11&gt;Assumptions!$D$18,(Assumptions!$D$18*Assumptions!$D$7)+(('Salary Build Sheet (Clinical)'!H11-Assumptions!$D$18)*Assumptions!$D$14),H11*Assumptions!$D$7)))</f>
        <v>0</v>
      </c>
      <c r="J11" s="396">
        <f>IF(E11="Non-Clinical",IF($E11="Yes",IF(H11&gt;Assumptions!$D$18,(Assumptions!$D$18*0),H11*0),IF(H11&gt;Assumptions!$D$18,(Assumptions!$D$18*(Assumptions!$D$9+Assumptions!$D$10))+(('Salary Build Sheet (Clinical)'!H11-Assumptions!$D$18)*0),H11*(Assumptions!$D$9+Assumptions!$D$10))),IF($E11="Yes",IF(H11&gt;Assumptions!$D$18,(Assumptions!$D$18*0),H11*0),IF(H11&gt;Assumptions!$D$18,(Assumptions!$D$18*(Assumptions!$D$9+Assumptions!$D$10))+(('Salary Build Sheet (Clinical)'!H11-Assumptions!$D$18)*0),H11*(Assumptions!$D$9+Assumptions!$D$10))))</f>
        <v>0</v>
      </c>
      <c r="K11" s="427">
        <f t="shared" ref="K11:K16" si="4">I11+H11+J11</f>
        <v>0</v>
      </c>
      <c r="L11" s="396">
        <f t="shared" ref="L11:L16" si="5">H11*F11</f>
        <v>0</v>
      </c>
      <c r="M11" s="396">
        <f t="shared" ref="M11:M16" si="6">I11*F11</f>
        <v>0</v>
      </c>
      <c r="N11" s="396">
        <f t="shared" ref="N11:N16" si="7">J11*F11</f>
        <v>0</v>
      </c>
      <c r="O11" s="396">
        <f t="shared" ref="O11:O16" si="8">SUM(L11:N11)</f>
        <v>0</v>
      </c>
      <c r="P11" s="396">
        <f t="shared" ref="P11:P16" si="9">H11*G11</f>
        <v>0</v>
      </c>
      <c r="Q11" s="396">
        <f t="shared" ref="Q11:Q16" si="10">I11*G11</f>
        <v>0</v>
      </c>
      <c r="R11" s="396">
        <f t="shared" ref="R11:R16" si="11">J11*G11</f>
        <v>0</v>
      </c>
      <c r="S11" s="427">
        <f t="shared" ref="S11:S16" si="12">SUM(P11:R11)</f>
        <v>0</v>
      </c>
      <c r="T11" s="433"/>
      <c r="U11" s="434"/>
      <c r="V11" s="435"/>
      <c r="W11" s="396">
        <f>IF(J11="Non-Clinical",IF($E11="Yes",IF(V11&gt;Assumptions!$D$18,(Assumptions!$D$18*Assumptions!$D$8),V11*Assumptions!$D$8),IF(V11&gt;Assumptions!$D$18,(Assumptions!$D$18*Assumptions!$D$6)+(('Salary Build Sheet (Clinical)'!V11-Assumptions!$D$18)*Assumptions!$D$13),V11*Assumptions!$D$6)),IF($E11="Yes",IF(V11&gt;Assumptions!$D$18,(Assumptions!$D$18*Assumptions!$D$8),V11*Assumptions!$D$8),IF(V11&gt;Assumptions!$D$18,(Assumptions!$D$18*Assumptions!$D$7)+(('Salary Build Sheet (Clinical)'!V11-Assumptions!$D$18)*Assumptions!$D$14),V11*Assumptions!$D$7)))</f>
        <v>0</v>
      </c>
      <c r="X11" s="396">
        <f>IF(K11="Non-Clinical",IF($E11="Yes",IF(V11&gt;Assumptions!$D$18,(Assumptions!$D$18*0),V11*0),IF(V11&gt;Assumptions!$D$18,(Assumptions!$D$18*(Assumptions!$D$9+Assumptions!$D$10))+(('Salary Build Sheet (Clinical)'!V11-Assumptions!$D$18)*0),V11*(Assumptions!$D$9+Assumptions!$D$10))),IF($E11="Yes",IF(V11&gt;Assumptions!$D$18,(Assumptions!$D$18*0),V11*0),IF(V11&gt;Assumptions!$D$18,(Assumptions!$D$18*(Assumptions!$D$9+Assumptions!$D$10))+(('Salary Build Sheet (Clinical)'!V11-Assumptions!$D$18)*0),V11*(Assumptions!$D$9+Assumptions!$D$10))))</f>
        <v>0</v>
      </c>
      <c r="Y11" s="427">
        <f t="shared" ref="Y11:Y16" si="13">W11+V11+X11</f>
        <v>0</v>
      </c>
      <c r="Z11" s="396">
        <f t="shared" ref="Z11:Z16" si="14">V11*T11</f>
        <v>0</v>
      </c>
      <c r="AA11" s="396">
        <f t="shared" ref="AA11:AA16" si="15">W11*T11</f>
        <v>0</v>
      </c>
      <c r="AB11" s="396">
        <f t="shared" ref="AB11:AB16" si="16">X11*T11</f>
        <v>0</v>
      </c>
      <c r="AC11" s="396">
        <f t="shared" ref="AC11:AC16" si="17">SUM(Z11:AB11)</f>
        <v>0</v>
      </c>
      <c r="AD11" s="396">
        <f t="shared" ref="AD11:AD16" si="18">V11*U11</f>
        <v>0</v>
      </c>
      <c r="AE11" s="396">
        <f t="shared" ref="AE11:AE16" si="19">W11*U11</f>
        <v>0</v>
      </c>
      <c r="AF11" s="396">
        <f t="shared" ref="AF11:AF16" si="20">X11*U11</f>
        <v>0</v>
      </c>
      <c r="AG11" s="427">
        <f t="shared" ref="AG11:AG16" si="21">SUM(AD11:AF11)</f>
        <v>0</v>
      </c>
      <c r="AH11" s="436"/>
      <c r="AI11" s="434"/>
      <c r="AJ11" s="435"/>
      <c r="AK11" s="396">
        <f>IF(X11="Non-Clinical",IF($E11="Yes",IF(AJ11&gt;Assumptions!$D$18,(Assumptions!$D$18*Assumptions!$D$8),AJ11*Assumptions!$D$8),IF(AJ11&gt;Assumptions!$D$18,(Assumptions!$D$18*Assumptions!$D$6)+(('Salary Build Sheet (Clinical)'!AJ11-Assumptions!$D$18)*Assumptions!$D$13),AJ11*Assumptions!$D$6)),IF($E11="Yes",IF(AJ11&gt;Assumptions!$D$18,(Assumptions!$D$18*Assumptions!$D$8),AJ11*Assumptions!$D$8),IF(AJ11&gt;Assumptions!$D$18,(Assumptions!$D$18*Assumptions!$D$7)+(('Salary Build Sheet (Clinical)'!AJ11-Assumptions!$D$18)*Assumptions!$D$14),AJ11*Assumptions!$D$7)))</f>
        <v>0</v>
      </c>
      <c r="AL11" s="396">
        <f>IF(Y11="Non-Clinical",IF($E11="Yes",IF(AJ11&gt;Assumptions!$D$18,(Assumptions!$D$18*0),AJ11*0),IF(AJ11&gt;Assumptions!$D$18,(Assumptions!$D$18*(Assumptions!$D$9+Assumptions!$D$10))+(('Salary Build Sheet (Clinical)'!AJ11-Assumptions!$D$18)*0),AJ11*(Assumptions!$D$9+Assumptions!$D$10))),IF($E11="Yes",IF(AJ11&gt;Assumptions!$D$18,(Assumptions!$D$18*0),AJ11*0),IF(AJ11&gt;Assumptions!$D$18,(Assumptions!$D$18*(Assumptions!$D$9+Assumptions!$D$10))+(('Salary Build Sheet (Clinical)'!AJ11-Assumptions!$D$18)*0),AJ11*(Assumptions!$D$9+Assumptions!$D$10))))</f>
        <v>0</v>
      </c>
      <c r="AM11" s="427">
        <f t="shared" ref="AM11:AM16" si="22">AK11+AJ11+AL11</f>
        <v>0</v>
      </c>
      <c r="AN11" s="429">
        <f t="shared" si="0"/>
        <v>0</v>
      </c>
      <c r="AO11" s="396">
        <f t="shared" si="1"/>
        <v>0</v>
      </c>
      <c r="AP11" s="396">
        <f t="shared" si="2"/>
        <v>0</v>
      </c>
      <c r="AQ11" s="396">
        <f t="shared" ref="AQ11:AQ16" si="23">SUM(AN11:AP11)</f>
        <v>0</v>
      </c>
      <c r="AR11" s="396">
        <f t="shared" ref="AR11:AR16" si="24">AJ11*AI11</f>
        <v>0</v>
      </c>
      <c r="AS11" s="396">
        <f t="shared" ref="AS11:AS16" si="25">AK11*AI11</f>
        <v>0</v>
      </c>
      <c r="AT11" s="396">
        <f t="shared" ref="AT11:AT16" si="26">AL11*AI11</f>
        <v>0</v>
      </c>
      <c r="AU11" s="427">
        <f t="shared" ref="AU11:AU16" si="27">SUM(AR11:AT11)</f>
        <v>0</v>
      </c>
      <c r="AV11" s="427">
        <f t="shared" si="3"/>
        <v>0</v>
      </c>
      <c r="AY11" s="229" t="str">
        <f>IF(G11&gt;0,(G11/#REF!)*H11," ")</f>
        <v xml:space="preserve"> </v>
      </c>
      <c r="AZ11" s="229" t="str">
        <f>IF(G11&gt;0,(G11/#REF!)*W11," ")</f>
        <v xml:space="preserve"> </v>
      </c>
      <c r="BA11" s="229">
        <f t="shared" ref="BA11:BA16" si="28">SUM(AY11:AZ11)</f>
        <v>0</v>
      </c>
    </row>
    <row r="12" spans="2:56" x14ac:dyDescent="0.25">
      <c r="B12" s="430"/>
      <c r="C12" s="431"/>
      <c r="D12" s="431" t="s">
        <v>393</v>
      </c>
      <c r="E12" s="432" t="s">
        <v>290</v>
      </c>
      <c r="F12" s="433"/>
      <c r="G12" s="434"/>
      <c r="H12" s="435"/>
      <c r="I12" s="396">
        <f>IF(D12="Non-Clinical",IF($E12="Yes",IF(H12&gt;Assumptions!$D$18,(Assumptions!$D$18*Assumptions!$D$8),H12*Assumptions!$D$8),IF(H12&gt;Assumptions!$D$18,(Assumptions!$D$18*Assumptions!$D$6)+(('Salary Build Sheet (Clinical)'!H12-Assumptions!$D$18)*Assumptions!$D$13),H12*Assumptions!$D$6)),IF($E12="Yes",IF(H12&gt;Assumptions!$D$18,(Assumptions!$D$18*Assumptions!$D$8),H12*Assumptions!$D$8),IF(H12&gt;Assumptions!$D$18,(Assumptions!$D$18*Assumptions!$D$7)+(('Salary Build Sheet (Clinical)'!H12-Assumptions!$D$18)*Assumptions!$D$14),H12*Assumptions!$D$7)))</f>
        <v>0</v>
      </c>
      <c r="J12" s="396">
        <f>IF(E12="Non-Clinical",IF($E12="Yes",IF(H12&gt;Assumptions!$D$18,(Assumptions!$D$18*0),H12*0),IF(H12&gt;Assumptions!$D$18,(Assumptions!$D$18*(Assumptions!$D$9+Assumptions!$D$10))+(('Salary Build Sheet (Clinical)'!H12-Assumptions!$D$18)*0),H12*(Assumptions!$D$9+Assumptions!$D$10))),IF($E12="Yes",IF(H12&gt;Assumptions!$D$18,(Assumptions!$D$18*0),H12*0),IF(H12&gt;Assumptions!$D$18,(Assumptions!$D$18*(Assumptions!$D$9+Assumptions!$D$10))+(('Salary Build Sheet (Clinical)'!H12-Assumptions!$D$18)*0),H12*(Assumptions!$D$9+Assumptions!$D$10))))</f>
        <v>0</v>
      </c>
      <c r="K12" s="427">
        <f t="shared" si="4"/>
        <v>0</v>
      </c>
      <c r="L12" s="396">
        <f t="shared" si="5"/>
        <v>0</v>
      </c>
      <c r="M12" s="396">
        <f t="shared" si="6"/>
        <v>0</v>
      </c>
      <c r="N12" s="396">
        <f t="shared" si="7"/>
        <v>0</v>
      </c>
      <c r="O12" s="396">
        <f t="shared" si="8"/>
        <v>0</v>
      </c>
      <c r="P12" s="396">
        <f t="shared" si="9"/>
        <v>0</v>
      </c>
      <c r="Q12" s="396">
        <f t="shared" si="10"/>
        <v>0</v>
      </c>
      <c r="R12" s="396">
        <f t="shared" si="11"/>
        <v>0</v>
      </c>
      <c r="S12" s="427">
        <f t="shared" si="12"/>
        <v>0</v>
      </c>
      <c r="T12" s="433"/>
      <c r="U12" s="434"/>
      <c r="V12" s="435"/>
      <c r="W12" s="396">
        <f>IF(J12="Non-Clinical",IF($E12="Yes",IF(V12&gt;Assumptions!$D$18,(Assumptions!$D$18*Assumptions!$D$8),V12*Assumptions!$D$8),IF(V12&gt;Assumptions!$D$18,(Assumptions!$D$18*Assumptions!$D$6)+(('Salary Build Sheet (Clinical)'!V12-Assumptions!$D$18)*Assumptions!$D$13),V12*Assumptions!$D$6)),IF($E12="Yes",IF(V12&gt;Assumptions!$D$18,(Assumptions!$D$18*Assumptions!$D$8),V12*Assumptions!$D$8),IF(V12&gt;Assumptions!$D$18,(Assumptions!$D$18*Assumptions!$D$7)+(('Salary Build Sheet (Clinical)'!V12-Assumptions!$D$18)*Assumptions!$D$14),V12*Assumptions!$D$7)))</f>
        <v>0</v>
      </c>
      <c r="X12" s="396">
        <f>IF(K12="Non-Clinical",IF($E12="Yes",IF(V12&gt;Assumptions!$D$18,(Assumptions!$D$18*0),V12*0),IF(V12&gt;Assumptions!$D$18,(Assumptions!$D$18*(Assumptions!$D$9+Assumptions!$D$10))+(('Salary Build Sheet (Clinical)'!V12-Assumptions!$D$18)*0),V12*(Assumptions!$D$9+Assumptions!$D$10))),IF($E12="Yes",IF(V12&gt;Assumptions!$D$18,(Assumptions!$D$18*0),V12*0),IF(V12&gt;Assumptions!$D$18,(Assumptions!$D$18*(Assumptions!$D$9+Assumptions!$D$10))+(('Salary Build Sheet (Clinical)'!V12-Assumptions!$D$18)*0),V12*(Assumptions!$D$9+Assumptions!$D$10))))</f>
        <v>0</v>
      </c>
      <c r="Y12" s="427">
        <f t="shared" si="13"/>
        <v>0</v>
      </c>
      <c r="Z12" s="396">
        <f t="shared" si="14"/>
        <v>0</v>
      </c>
      <c r="AA12" s="396">
        <f t="shared" si="15"/>
        <v>0</v>
      </c>
      <c r="AB12" s="396">
        <f t="shared" si="16"/>
        <v>0</v>
      </c>
      <c r="AC12" s="396">
        <f t="shared" si="17"/>
        <v>0</v>
      </c>
      <c r="AD12" s="396">
        <f t="shared" si="18"/>
        <v>0</v>
      </c>
      <c r="AE12" s="396">
        <f t="shared" si="19"/>
        <v>0</v>
      </c>
      <c r="AF12" s="396">
        <f t="shared" si="20"/>
        <v>0</v>
      </c>
      <c r="AG12" s="427">
        <f t="shared" si="21"/>
        <v>0</v>
      </c>
      <c r="AH12" s="436"/>
      <c r="AI12" s="434"/>
      <c r="AJ12" s="435"/>
      <c r="AK12" s="396">
        <f>IF(X12="Non-Clinical",IF($E12="Yes",IF(AJ12&gt;Assumptions!$D$18,(Assumptions!$D$18*Assumptions!$D$8),AJ12*Assumptions!$D$8),IF(AJ12&gt;Assumptions!$D$18,(Assumptions!$D$18*Assumptions!$D$6)+(('Salary Build Sheet (Clinical)'!AJ12-Assumptions!$D$18)*Assumptions!$D$13),AJ12*Assumptions!$D$6)),IF($E12="Yes",IF(AJ12&gt;Assumptions!$D$18,(Assumptions!$D$18*Assumptions!$D$8),AJ12*Assumptions!$D$8),IF(AJ12&gt;Assumptions!$D$18,(Assumptions!$D$18*Assumptions!$D$7)+(('Salary Build Sheet (Clinical)'!AJ12-Assumptions!$D$18)*Assumptions!$D$14),AJ12*Assumptions!$D$7)))</f>
        <v>0</v>
      </c>
      <c r="AL12" s="396">
        <f>IF(Y12="Non-Clinical",IF($E12="Yes",IF(AJ12&gt;Assumptions!$D$18,(Assumptions!$D$18*0),AJ12*0),IF(AJ12&gt;Assumptions!$D$18,(Assumptions!$D$18*(Assumptions!$D$9+Assumptions!$D$10))+(('Salary Build Sheet (Clinical)'!AJ12-Assumptions!$D$18)*0),AJ12*(Assumptions!$D$9+Assumptions!$D$10))),IF($E12="Yes",IF(AJ12&gt;Assumptions!$D$18,(Assumptions!$D$18*0),AJ12*0),IF(AJ12&gt;Assumptions!$D$18,(Assumptions!$D$18*(Assumptions!$D$9+Assumptions!$D$10))+(('Salary Build Sheet (Clinical)'!AJ12-Assumptions!$D$18)*0),AJ12*(Assumptions!$D$9+Assumptions!$D$10))))</f>
        <v>0</v>
      </c>
      <c r="AM12" s="427">
        <f t="shared" si="22"/>
        <v>0</v>
      </c>
      <c r="AN12" s="429">
        <f t="shared" si="0"/>
        <v>0</v>
      </c>
      <c r="AO12" s="396">
        <f t="shared" si="1"/>
        <v>0</v>
      </c>
      <c r="AP12" s="396">
        <f t="shared" si="2"/>
        <v>0</v>
      </c>
      <c r="AQ12" s="396">
        <f t="shared" si="23"/>
        <v>0</v>
      </c>
      <c r="AR12" s="396">
        <f t="shared" si="24"/>
        <v>0</v>
      </c>
      <c r="AS12" s="396">
        <f t="shared" si="25"/>
        <v>0</v>
      </c>
      <c r="AT12" s="396">
        <f t="shared" si="26"/>
        <v>0</v>
      </c>
      <c r="AU12" s="427">
        <f t="shared" si="27"/>
        <v>0</v>
      </c>
      <c r="AV12" s="427">
        <f t="shared" si="3"/>
        <v>0</v>
      </c>
      <c r="AY12" s="229" t="str">
        <f>IF(G12&gt;0,(G12/#REF!)*H12," ")</f>
        <v xml:space="preserve"> </v>
      </c>
      <c r="AZ12" s="229" t="str">
        <f>IF(G12&gt;0,(G12/#REF!)*W12," ")</f>
        <v xml:space="preserve"> </v>
      </c>
      <c r="BA12" s="229">
        <f t="shared" si="28"/>
        <v>0</v>
      </c>
    </row>
    <row r="13" spans="2:56" ht="15.75" customHeight="1" x14ac:dyDescent="0.25">
      <c r="B13" s="430"/>
      <c r="C13" s="431"/>
      <c r="D13" s="431" t="s">
        <v>393</v>
      </c>
      <c r="E13" s="432" t="s">
        <v>290</v>
      </c>
      <c r="F13" s="433"/>
      <c r="G13" s="434"/>
      <c r="H13" s="435"/>
      <c r="I13" s="396">
        <f>IF(D13="Non-Clinical",IF($E13="Yes",IF(H13&gt;Assumptions!$D$18,(Assumptions!$D$18*Assumptions!$D$8),H13*Assumptions!$D$8),IF(H13&gt;Assumptions!$D$18,(Assumptions!$D$18*Assumptions!$D$6)+(('Salary Build Sheet (Clinical)'!H13-Assumptions!$D$18)*Assumptions!$D$13),H13*Assumptions!$D$6)),IF($E13="Yes",IF(H13&gt;Assumptions!$D$18,(Assumptions!$D$18*Assumptions!$D$8),H13*Assumptions!$D$8),IF(H13&gt;Assumptions!$D$18,(Assumptions!$D$18*Assumptions!$D$7)+(('Salary Build Sheet (Clinical)'!H13-Assumptions!$D$18)*Assumptions!$D$14),H13*Assumptions!$D$7)))</f>
        <v>0</v>
      </c>
      <c r="J13" s="396">
        <f>IF(E13="Non-Clinical",IF($E13="Yes",IF(H13&gt;Assumptions!$D$18,(Assumptions!$D$18*0),H13*0),IF(H13&gt;Assumptions!$D$18,(Assumptions!$D$18*(Assumptions!$D$9+Assumptions!$D$10))+(('Salary Build Sheet (Clinical)'!H13-Assumptions!$D$18)*0),H13*(Assumptions!$D$9+Assumptions!$D$10))),IF($E13="Yes",IF(H13&gt;Assumptions!$D$18,(Assumptions!$D$18*0),H13*0),IF(H13&gt;Assumptions!$D$18,(Assumptions!$D$18*(Assumptions!$D$9+Assumptions!$D$10))+(('Salary Build Sheet (Clinical)'!H13-Assumptions!$D$18)*0),H13*(Assumptions!$D$9+Assumptions!$D$10))))</f>
        <v>0</v>
      </c>
      <c r="K13" s="427">
        <f t="shared" si="4"/>
        <v>0</v>
      </c>
      <c r="L13" s="396">
        <f t="shared" si="5"/>
        <v>0</v>
      </c>
      <c r="M13" s="396">
        <f t="shared" si="6"/>
        <v>0</v>
      </c>
      <c r="N13" s="396">
        <f t="shared" si="7"/>
        <v>0</v>
      </c>
      <c r="O13" s="396">
        <f t="shared" si="8"/>
        <v>0</v>
      </c>
      <c r="P13" s="396">
        <f t="shared" si="9"/>
        <v>0</v>
      </c>
      <c r="Q13" s="396">
        <f t="shared" si="10"/>
        <v>0</v>
      </c>
      <c r="R13" s="396">
        <f t="shared" si="11"/>
        <v>0</v>
      </c>
      <c r="S13" s="427">
        <f t="shared" si="12"/>
        <v>0</v>
      </c>
      <c r="T13" s="433"/>
      <c r="U13" s="434"/>
      <c r="V13" s="435"/>
      <c r="W13" s="396">
        <f>IF(J13="Non-Clinical",IF($E13="Yes",IF(V13&gt;Assumptions!$D$18,(Assumptions!$D$18*Assumptions!$D$8),V13*Assumptions!$D$8),IF(V13&gt;Assumptions!$D$18,(Assumptions!$D$18*Assumptions!$D$6)+(('Salary Build Sheet (Clinical)'!V13-Assumptions!$D$18)*Assumptions!$D$13),V13*Assumptions!$D$6)),IF($E13="Yes",IF(V13&gt;Assumptions!$D$18,(Assumptions!$D$18*Assumptions!$D$8),V13*Assumptions!$D$8),IF(V13&gt;Assumptions!$D$18,(Assumptions!$D$18*Assumptions!$D$7)+(('Salary Build Sheet (Clinical)'!V13-Assumptions!$D$18)*Assumptions!$D$14),V13*Assumptions!$D$7)))</f>
        <v>0</v>
      </c>
      <c r="X13" s="396">
        <f>IF(K13="Non-Clinical",IF($E13="Yes",IF(V13&gt;Assumptions!$D$18,(Assumptions!$D$18*0),V13*0),IF(V13&gt;Assumptions!$D$18,(Assumptions!$D$18*(Assumptions!$D$9+Assumptions!$D$10))+(('Salary Build Sheet (Clinical)'!V13-Assumptions!$D$18)*0),V13*(Assumptions!$D$9+Assumptions!$D$10))),IF($E13="Yes",IF(V13&gt;Assumptions!$D$18,(Assumptions!$D$18*0),V13*0),IF(V13&gt;Assumptions!$D$18,(Assumptions!$D$18*(Assumptions!$D$9+Assumptions!$D$10))+(('Salary Build Sheet (Clinical)'!V13-Assumptions!$D$18)*0),V13*(Assumptions!$D$9+Assumptions!$D$10))))</f>
        <v>0</v>
      </c>
      <c r="Y13" s="427">
        <f t="shared" si="13"/>
        <v>0</v>
      </c>
      <c r="Z13" s="396">
        <f t="shared" si="14"/>
        <v>0</v>
      </c>
      <c r="AA13" s="396">
        <f t="shared" si="15"/>
        <v>0</v>
      </c>
      <c r="AB13" s="396">
        <f t="shared" si="16"/>
        <v>0</v>
      </c>
      <c r="AC13" s="396">
        <f t="shared" si="17"/>
        <v>0</v>
      </c>
      <c r="AD13" s="396">
        <f t="shared" si="18"/>
        <v>0</v>
      </c>
      <c r="AE13" s="396">
        <f t="shared" si="19"/>
        <v>0</v>
      </c>
      <c r="AF13" s="396">
        <f t="shared" si="20"/>
        <v>0</v>
      </c>
      <c r="AG13" s="427">
        <f t="shared" si="21"/>
        <v>0</v>
      </c>
      <c r="AH13" s="436"/>
      <c r="AI13" s="434"/>
      <c r="AJ13" s="435"/>
      <c r="AK13" s="396">
        <f>IF(X13="Non-Clinical",IF($E13="Yes",IF(AJ13&gt;Assumptions!$D$18,(Assumptions!$D$18*Assumptions!$D$8),AJ13*Assumptions!$D$8),IF(AJ13&gt;Assumptions!$D$18,(Assumptions!$D$18*Assumptions!$D$6)+(('Salary Build Sheet (Clinical)'!AJ13-Assumptions!$D$18)*Assumptions!$D$13),AJ13*Assumptions!$D$6)),IF($E13="Yes",IF(AJ13&gt;Assumptions!$D$18,(Assumptions!$D$18*Assumptions!$D$8),AJ13*Assumptions!$D$8),IF(AJ13&gt;Assumptions!$D$18,(Assumptions!$D$18*Assumptions!$D$7)+(('Salary Build Sheet (Clinical)'!AJ13-Assumptions!$D$18)*Assumptions!$D$14),AJ13*Assumptions!$D$7)))</f>
        <v>0</v>
      </c>
      <c r="AL13" s="396">
        <f>IF(Y13="Non-Clinical",IF($E13="Yes",IF(AJ13&gt;Assumptions!$D$18,(Assumptions!$D$18*0),AJ13*0),IF(AJ13&gt;Assumptions!$D$18,(Assumptions!$D$18*(Assumptions!$D$9+Assumptions!$D$10))+(('Salary Build Sheet (Clinical)'!AJ13-Assumptions!$D$18)*0),AJ13*(Assumptions!$D$9+Assumptions!$D$10))),IF($E13="Yes",IF(AJ13&gt;Assumptions!$D$18,(Assumptions!$D$18*0),AJ13*0),IF(AJ13&gt;Assumptions!$D$18,(Assumptions!$D$18*(Assumptions!$D$9+Assumptions!$D$10))+(('Salary Build Sheet (Clinical)'!AJ13-Assumptions!$D$18)*0),AJ13*(Assumptions!$D$9+Assumptions!$D$10))))</f>
        <v>0</v>
      </c>
      <c r="AM13" s="427">
        <f t="shared" si="22"/>
        <v>0</v>
      </c>
      <c r="AN13" s="429">
        <f t="shared" si="0"/>
        <v>0</v>
      </c>
      <c r="AO13" s="396">
        <f t="shared" si="1"/>
        <v>0</v>
      </c>
      <c r="AP13" s="396">
        <f t="shared" si="2"/>
        <v>0</v>
      </c>
      <c r="AQ13" s="396">
        <f t="shared" si="23"/>
        <v>0</v>
      </c>
      <c r="AR13" s="396">
        <f t="shared" si="24"/>
        <v>0</v>
      </c>
      <c r="AS13" s="396">
        <f t="shared" si="25"/>
        <v>0</v>
      </c>
      <c r="AT13" s="396">
        <f t="shared" si="26"/>
        <v>0</v>
      </c>
      <c r="AU13" s="427">
        <f t="shared" si="27"/>
        <v>0</v>
      </c>
      <c r="AV13" s="427">
        <f t="shared" si="3"/>
        <v>0</v>
      </c>
      <c r="AY13" s="229" t="str">
        <f>IF(G13&gt;0,(G13/#REF!)*H13," ")</f>
        <v xml:space="preserve"> </v>
      </c>
      <c r="AZ13" s="229" t="str">
        <f>IF(G13&gt;0,(G13/#REF!)*W13," ")</f>
        <v xml:space="preserve"> </v>
      </c>
      <c r="BA13" s="229">
        <f t="shared" si="28"/>
        <v>0</v>
      </c>
    </row>
    <row r="14" spans="2:56" x14ac:dyDescent="0.25">
      <c r="B14" s="430"/>
      <c r="C14" s="431"/>
      <c r="D14" s="431" t="s">
        <v>393</v>
      </c>
      <c r="E14" s="432" t="s">
        <v>290</v>
      </c>
      <c r="F14" s="433"/>
      <c r="G14" s="434"/>
      <c r="H14" s="435"/>
      <c r="I14" s="396">
        <f>IF(D14="Non-Clinical",IF($E14="Yes",IF(H14&gt;Assumptions!$D$18,(Assumptions!$D$18*Assumptions!$D$8),H14*Assumptions!$D$8),IF(H14&gt;Assumptions!$D$18,(Assumptions!$D$18*Assumptions!$D$6)+(('Salary Build Sheet (Clinical)'!H14-Assumptions!$D$18)*Assumptions!$D$13),H14*Assumptions!$D$6)),IF($E14="Yes",IF(H14&gt;Assumptions!$D$18,(Assumptions!$D$18*Assumptions!$D$8),H14*Assumptions!$D$8),IF(H14&gt;Assumptions!$D$18,(Assumptions!$D$18*Assumptions!$D$7)+(('Salary Build Sheet (Clinical)'!H14-Assumptions!$D$18)*Assumptions!$D$14),H14*Assumptions!$D$7)))</f>
        <v>0</v>
      </c>
      <c r="J14" s="396">
        <f>IF(E14="Non-Clinical",IF($E14="Yes",IF(H14&gt;Assumptions!$D$18,(Assumptions!$D$18*0),H14*0),IF(H14&gt;Assumptions!$D$18,(Assumptions!$D$18*(Assumptions!$D$9+Assumptions!$D$10))+(('Salary Build Sheet (Clinical)'!H14-Assumptions!$D$18)*0),H14*(Assumptions!$D$9+Assumptions!$D$10))),IF($E14="Yes",IF(H14&gt;Assumptions!$D$18,(Assumptions!$D$18*0),H14*0),IF(H14&gt;Assumptions!$D$18,(Assumptions!$D$18*(Assumptions!$D$9+Assumptions!$D$10))+(('Salary Build Sheet (Clinical)'!H14-Assumptions!$D$18)*0),H14*(Assumptions!$D$9+Assumptions!$D$10))))</f>
        <v>0</v>
      </c>
      <c r="K14" s="427">
        <f t="shared" si="4"/>
        <v>0</v>
      </c>
      <c r="L14" s="396">
        <f t="shared" si="5"/>
        <v>0</v>
      </c>
      <c r="M14" s="396">
        <f t="shared" si="6"/>
        <v>0</v>
      </c>
      <c r="N14" s="396">
        <f t="shared" si="7"/>
        <v>0</v>
      </c>
      <c r="O14" s="396">
        <f t="shared" si="8"/>
        <v>0</v>
      </c>
      <c r="P14" s="396">
        <f t="shared" si="9"/>
        <v>0</v>
      </c>
      <c r="Q14" s="396">
        <f t="shared" si="10"/>
        <v>0</v>
      </c>
      <c r="R14" s="396">
        <f t="shared" si="11"/>
        <v>0</v>
      </c>
      <c r="S14" s="427">
        <f t="shared" si="12"/>
        <v>0</v>
      </c>
      <c r="T14" s="433"/>
      <c r="U14" s="434"/>
      <c r="V14" s="435"/>
      <c r="W14" s="396">
        <f>IF(J14="Non-Clinical",IF($E14="Yes",IF(V14&gt;Assumptions!$D$18,(Assumptions!$D$18*Assumptions!$D$8),V14*Assumptions!$D$8),IF(V14&gt;Assumptions!$D$18,(Assumptions!$D$18*Assumptions!$D$6)+(('Salary Build Sheet (Clinical)'!V14-Assumptions!$D$18)*Assumptions!$D$13),V14*Assumptions!$D$6)),IF($E14="Yes",IF(V14&gt;Assumptions!$D$18,(Assumptions!$D$18*Assumptions!$D$8),V14*Assumptions!$D$8),IF(V14&gt;Assumptions!$D$18,(Assumptions!$D$18*Assumptions!$D$7)+(('Salary Build Sheet (Clinical)'!V14-Assumptions!$D$18)*Assumptions!$D$14),V14*Assumptions!$D$7)))</f>
        <v>0</v>
      </c>
      <c r="X14" s="396">
        <f>IF(K14="Non-Clinical",IF($E14="Yes",IF(V14&gt;Assumptions!$D$18,(Assumptions!$D$18*0),V14*0),IF(V14&gt;Assumptions!$D$18,(Assumptions!$D$18*(Assumptions!$D$9+Assumptions!$D$10))+(('Salary Build Sheet (Clinical)'!V14-Assumptions!$D$18)*0),V14*(Assumptions!$D$9+Assumptions!$D$10))),IF($E14="Yes",IF(V14&gt;Assumptions!$D$18,(Assumptions!$D$18*0),V14*0),IF(V14&gt;Assumptions!$D$18,(Assumptions!$D$18*(Assumptions!$D$9+Assumptions!$D$10))+(('Salary Build Sheet (Clinical)'!V14-Assumptions!$D$18)*0),V14*(Assumptions!$D$9+Assumptions!$D$10))))</f>
        <v>0</v>
      </c>
      <c r="Y14" s="427">
        <f t="shared" si="13"/>
        <v>0</v>
      </c>
      <c r="Z14" s="396">
        <f t="shared" si="14"/>
        <v>0</v>
      </c>
      <c r="AA14" s="396">
        <f t="shared" si="15"/>
        <v>0</v>
      </c>
      <c r="AB14" s="396">
        <f t="shared" si="16"/>
        <v>0</v>
      </c>
      <c r="AC14" s="396">
        <f t="shared" si="17"/>
        <v>0</v>
      </c>
      <c r="AD14" s="396">
        <f t="shared" si="18"/>
        <v>0</v>
      </c>
      <c r="AE14" s="396">
        <f t="shared" si="19"/>
        <v>0</v>
      </c>
      <c r="AF14" s="396">
        <f t="shared" si="20"/>
        <v>0</v>
      </c>
      <c r="AG14" s="427">
        <f t="shared" si="21"/>
        <v>0</v>
      </c>
      <c r="AH14" s="436"/>
      <c r="AI14" s="434"/>
      <c r="AJ14" s="435"/>
      <c r="AK14" s="396">
        <f>IF(X14="Non-Clinical",IF($E14="Yes",IF(AJ14&gt;Assumptions!$D$18,(Assumptions!$D$18*Assumptions!$D$8),AJ14*Assumptions!$D$8),IF(AJ14&gt;Assumptions!$D$18,(Assumptions!$D$18*Assumptions!$D$6)+(('Salary Build Sheet (Clinical)'!AJ14-Assumptions!$D$18)*Assumptions!$D$13),AJ14*Assumptions!$D$6)),IF($E14="Yes",IF(AJ14&gt;Assumptions!$D$18,(Assumptions!$D$18*Assumptions!$D$8),AJ14*Assumptions!$D$8),IF(AJ14&gt;Assumptions!$D$18,(Assumptions!$D$18*Assumptions!$D$7)+(('Salary Build Sheet (Clinical)'!AJ14-Assumptions!$D$18)*Assumptions!$D$14),AJ14*Assumptions!$D$7)))</f>
        <v>0</v>
      </c>
      <c r="AL14" s="396">
        <f>IF(Y14="Non-Clinical",IF($E14="Yes",IF(AJ14&gt;Assumptions!$D$18,(Assumptions!$D$18*0),AJ14*0),IF(AJ14&gt;Assumptions!$D$18,(Assumptions!$D$18*(Assumptions!$D$9+Assumptions!$D$10))+(('Salary Build Sheet (Clinical)'!AJ14-Assumptions!$D$18)*0),AJ14*(Assumptions!$D$9+Assumptions!$D$10))),IF($E14="Yes",IF(AJ14&gt;Assumptions!$D$18,(Assumptions!$D$18*0),AJ14*0),IF(AJ14&gt;Assumptions!$D$18,(Assumptions!$D$18*(Assumptions!$D$9+Assumptions!$D$10))+(('Salary Build Sheet (Clinical)'!AJ14-Assumptions!$D$18)*0),AJ14*(Assumptions!$D$9+Assumptions!$D$10))))</f>
        <v>0</v>
      </c>
      <c r="AM14" s="427">
        <f t="shared" si="22"/>
        <v>0</v>
      </c>
      <c r="AN14" s="429">
        <f t="shared" si="0"/>
        <v>0</v>
      </c>
      <c r="AO14" s="396">
        <f t="shared" si="1"/>
        <v>0</v>
      </c>
      <c r="AP14" s="396">
        <f t="shared" si="2"/>
        <v>0</v>
      </c>
      <c r="AQ14" s="396">
        <f t="shared" si="23"/>
        <v>0</v>
      </c>
      <c r="AR14" s="396">
        <f t="shared" si="24"/>
        <v>0</v>
      </c>
      <c r="AS14" s="396">
        <f t="shared" si="25"/>
        <v>0</v>
      </c>
      <c r="AT14" s="396">
        <f t="shared" si="26"/>
        <v>0</v>
      </c>
      <c r="AU14" s="427">
        <f t="shared" si="27"/>
        <v>0</v>
      </c>
      <c r="AV14" s="427">
        <f t="shared" si="3"/>
        <v>0</v>
      </c>
      <c r="AY14" s="229" t="str">
        <f>IF(G14&gt;0,(G14/#REF!)*H14," ")</f>
        <v xml:space="preserve"> </v>
      </c>
      <c r="AZ14" s="229" t="str">
        <f>IF(G14&gt;0,(G14/#REF!)*W14," ")</f>
        <v xml:space="preserve"> </v>
      </c>
      <c r="BA14" s="229">
        <f t="shared" si="28"/>
        <v>0</v>
      </c>
    </row>
    <row r="15" spans="2:56" ht="15.75" customHeight="1" x14ac:dyDescent="0.25">
      <c r="B15" s="430"/>
      <c r="C15" s="431"/>
      <c r="D15" s="431" t="s">
        <v>393</v>
      </c>
      <c r="E15" s="432" t="s">
        <v>290</v>
      </c>
      <c r="F15" s="433"/>
      <c r="G15" s="434"/>
      <c r="H15" s="435"/>
      <c r="I15" s="396">
        <f>IF(D15="Non-Clinical",IF($E15="Yes",IF(H15&gt;Assumptions!$D$18,(Assumptions!$D$18*Assumptions!$D$8),H15*Assumptions!$D$8),IF(H15&gt;Assumptions!$D$18,(Assumptions!$D$18*Assumptions!$D$6)+(('Salary Build Sheet (Clinical)'!H15-Assumptions!$D$18)*Assumptions!$D$13),H15*Assumptions!$D$6)),IF($E15="Yes",IF(H15&gt;Assumptions!$D$18,(Assumptions!$D$18*Assumptions!$D$8),H15*Assumptions!$D$8),IF(H15&gt;Assumptions!$D$18,(Assumptions!$D$18*Assumptions!$D$7)+(('Salary Build Sheet (Clinical)'!H15-Assumptions!$D$18)*Assumptions!$D$14),H15*Assumptions!$D$7)))</f>
        <v>0</v>
      </c>
      <c r="J15" s="396">
        <f>IF(E15="Non-Clinical",IF($E15="Yes",IF(H15&gt;Assumptions!$D$18,(Assumptions!$D$18*0),H15*0),IF(H15&gt;Assumptions!$D$18,(Assumptions!$D$18*(Assumptions!$D$9+Assumptions!$D$10))+(('Salary Build Sheet (Clinical)'!H15-Assumptions!$D$18)*0),H15*(Assumptions!$D$9+Assumptions!$D$10))),IF($E15="Yes",IF(H15&gt;Assumptions!$D$18,(Assumptions!$D$18*0),H15*0),IF(H15&gt;Assumptions!$D$18,(Assumptions!$D$18*(Assumptions!$D$9+Assumptions!$D$10))+(('Salary Build Sheet (Clinical)'!H15-Assumptions!$D$18)*0),H15*(Assumptions!$D$9+Assumptions!$D$10))))</f>
        <v>0</v>
      </c>
      <c r="K15" s="427">
        <f t="shared" si="4"/>
        <v>0</v>
      </c>
      <c r="L15" s="396">
        <f t="shared" si="5"/>
        <v>0</v>
      </c>
      <c r="M15" s="396">
        <f t="shared" si="6"/>
        <v>0</v>
      </c>
      <c r="N15" s="396">
        <f t="shared" si="7"/>
        <v>0</v>
      </c>
      <c r="O15" s="396">
        <f t="shared" si="8"/>
        <v>0</v>
      </c>
      <c r="P15" s="396">
        <f t="shared" si="9"/>
        <v>0</v>
      </c>
      <c r="Q15" s="396">
        <f t="shared" si="10"/>
        <v>0</v>
      </c>
      <c r="R15" s="396">
        <f t="shared" si="11"/>
        <v>0</v>
      </c>
      <c r="S15" s="427">
        <f t="shared" si="12"/>
        <v>0</v>
      </c>
      <c r="T15" s="433"/>
      <c r="U15" s="434"/>
      <c r="V15" s="435"/>
      <c r="W15" s="396">
        <f>IF(J15="Non-Clinical",IF($E15="Yes",IF(V15&gt;Assumptions!$D$18,(Assumptions!$D$18*Assumptions!$D$8),V15*Assumptions!$D$8),IF(V15&gt;Assumptions!$D$18,(Assumptions!$D$18*Assumptions!$D$6)+(('Salary Build Sheet (Clinical)'!V15-Assumptions!$D$18)*Assumptions!$D$13),V15*Assumptions!$D$6)),IF($E15="Yes",IF(V15&gt;Assumptions!$D$18,(Assumptions!$D$18*Assumptions!$D$8),V15*Assumptions!$D$8),IF(V15&gt;Assumptions!$D$18,(Assumptions!$D$18*Assumptions!$D$7)+(('Salary Build Sheet (Clinical)'!V15-Assumptions!$D$18)*Assumptions!$D$14),V15*Assumptions!$D$7)))</f>
        <v>0</v>
      </c>
      <c r="X15" s="396">
        <f>IF(K15="Non-Clinical",IF($E15="Yes",IF(V15&gt;Assumptions!$D$18,(Assumptions!$D$18*0),V15*0),IF(V15&gt;Assumptions!$D$18,(Assumptions!$D$18*(Assumptions!$D$9+Assumptions!$D$10))+(('Salary Build Sheet (Clinical)'!V15-Assumptions!$D$18)*0),V15*(Assumptions!$D$9+Assumptions!$D$10))),IF($E15="Yes",IF(V15&gt;Assumptions!$D$18,(Assumptions!$D$18*0),V15*0),IF(V15&gt;Assumptions!$D$18,(Assumptions!$D$18*(Assumptions!$D$9+Assumptions!$D$10))+(('Salary Build Sheet (Clinical)'!V15-Assumptions!$D$18)*0),V15*(Assumptions!$D$9+Assumptions!$D$10))))</f>
        <v>0</v>
      </c>
      <c r="Y15" s="427">
        <f t="shared" si="13"/>
        <v>0</v>
      </c>
      <c r="Z15" s="396">
        <f t="shared" si="14"/>
        <v>0</v>
      </c>
      <c r="AA15" s="396">
        <f t="shared" si="15"/>
        <v>0</v>
      </c>
      <c r="AB15" s="396">
        <f t="shared" si="16"/>
        <v>0</v>
      </c>
      <c r="AC15" s="396">
        <f t="shared" si="17"/>
        <v>0</v>
      </c>
      <c r="AD15" s="396">
        <f t="shared" si="18"/>
        <v>0</v>
      </c>
      <c r="AE15" s="396">
        <f t="shared" si="19"/>
        <v>0</v>
      </c>
      <c r="AF15" s="396">
        <f t="shared" si="20"/>
        <v>0</v>
      </c>
      <c r="AG15" s="427">
        <f t="shared" si="21"/>
        <v>0</v>
      </c>
      <c r="AH15" s="436"/>
      <c r="AI15" s="434"/>
      <c r="AJ15" s="435"/>
      <c r="AK15" s="396">
        <f>IF(X15="Non-Clinical",IF($E15="Yes",IF(AJ15&gt;Assumptions!$D$18,(Assumptions!$D$18*Assumptions!$D$8),AJ15*Assumptions!$D$8),IF(AJ15&gt;Assumptions!$D$18,(Assumptions!$D$18*Assumptions!$D$6)+(('Salary Build Sheet (Clinical)'!AJ15-Assumptions!$D$18)*Assumptions!$D$13),AJ15*Assumptions!$D$6)),IF($E15="Yes",IF(AJ15&gt;Assumptions!$D$18,(Assumptions!$D$18*Assumptions!$D$8),AJ15*Assumptions!$D$8),IF(AJ15&gt;Assumptions!$D$18,(Assumptions!$D$18*Assumptions!$D$7)+(('Salary Build Sheet (Clinical)'!AJ15-Assumptions!$D$18)*Assumptions!$D$14),AJ15*Assumptions!$D$7)))</f>
        <v>0</v>
      </c>
      <c r="AL15" s="396">
        <f>IF(Y15="Non-Clinical",IF($E15="Yes",IF(AJ15&gt;Assumptions!$D$18,(Assumptions!$D$18*0),AJ15*0),IF(AJ15&gt;Assumptions!$D$18,(Assumptions!$D$18*(Assumptions!$D$9+Assumptions!$D$10))+(('Salary Build Sheet (Clinical)'!AJ15-Assumptions!$D$18)*0),AJ15*(Assumptions!$D$9+Assumptions!$D$10))),IF($E15="Yes",IF(AJ15&gt;Assumptions!$D$18,(Assumptions!$D$18*0),AJ15*0),IF(AJ15&gt;Assumptions!$D$18,(Assumptions!$D$18*(Assumptions!$D$9+Assumptions!$D$10))+(('Salary Build Sheet (Clinical)'!AJ15-Assumptions!$D$18)*0),AJ15*(Assumptions!$D$9+Assumptions!$D$10))))</f>
        <v>0</v>
      </c>
      <c r="AM15" s="427">
        <f t="shared" si="22"/>
        <v>0</v>
      </c>
      <c r="AN15" s="429">
        <f t="shared" si="0"/>
        <v>0</v>
      </c>
      <c r="AO15" s="396">
        <f t="shared" si="1"/>
        <v>0</v>
      </c>
      <c r="AP15" s="396">
        <f t="shared" si="2"/>
        <v>0</v>
      </c>
      <c r="AQ15" s="396">
        <f t="shared" si="23"/>
        <v>0</v>
      </c>
      <c r="AR15" s="396">
        <f t="shared" si="24"/>
        <v>0</v>
      </c>
      <c r="AS15" s="396">
        <f t="shared" si="25"/>
        <v>0</v>
      </c>
      <c r="AT15" s="396">
        <f t="shared" si="26"/>
        <v>0</v>
      </c>
      <c r="AU15" s="427">
        <f t="shared" si="27"/>
        <v>0</v>
      </c>
      <c r="AV15" s="427">
        <f t="shared" si="3"/>
        <v>0</v>
      </c>
      <c r="AY15" s="229" t="str">
        <f>IF(G15&gt;0,(G15/#REF!)*H15," ")</f>
        <v xml:space="preserve"> </v>
      </c>
      <c r="AZ15" s="229" t="str">
        <f>IF(G15&gt;0,(G15/#REF!)*W15," ")</f>
        <v xml:space="preserve"> </v>
      </c>
      <c r="BA15" s="229">
        <f t="shared" si="28"/>
        <v>0</v>
      </c>
    </row>
    <row r="16" spans="2:56" ht="16.5" thickBot="1" x14ac:dyDescent="0.3">
      <c r="B16" s="437"/>
      <c r="C16" s="431"/>
      <c r="D16" s="431" t="s">
        <v>393</v>
      </c>
      <c r="E16" s="432" t="s">
        <v>290</v>
      </c>
      <c r="F16" s="433"/>
      <c r="G16" s="434"/>
      <c r="H16" s="435"/>
      <c r="I16" s="396">
        <f>IF(D16="Non-Clinical",IF($E16="Yes",IF(H16&gt;Assumptions!$D$18,(Assumptions!$D$18*Assumptions!$D$8),H16*Assumptions!$D$8),IF(H16&gt;Assumptions!$D$18,(Assumptions!$D$18*Assumptions!$D$6)+(('Salary Build Sheet (Clinical)'!H16-Assumptions!$D$18)*Assumptions!$D$13),H16*Assumptions!$D$6)),IF($E16="Yes",IF(H16&gt;Assumptions!$D$18,(Assumptions!$D$18*Assumptions!$D$8),H16*Assumptions!$D$8),IF(H16&gt;Assumptions!$D$18,(Assumptions!$D$18*Assumptions!$D$7)+(('Salary Build Sheet (Clinical)'!H16-Assumptions!$D$18)*Assumptions!$D$14),H16*Assumptions!$D$7)))</f>
        <v>0</v>
      </c>
      <c r="J16" s="396">
        <f>IF(E16="Non-Clinical",IF($E16="Yes",IF(H16&gt;Assumptions!$D$18,(Assumptions!$D$18*0),H16*0),IF(H16&gt;Assumptions!$D$18,(Assumptions!$D$18*(Assumptions!$D$9+Assumptions!$D$10))+(('Salary Build Sheet (Clinical)'!H16-Assumptions!$D$18)*0),H16*(Assumptions!$D$9+Assumptions!$D$10))),IF($E16="Yes",IF(H16&gt;Assumptions!$D$18,(Assumptions!$D$18*0),H16*0),IF(H16&gt;Assumptions!$D$18,(Assumptions!$D$18*(Assumptions!$D$9+Assumptions!$D$10))+(('Salary Build Sheet (Clinical)'!H16-Assumptions!$D$18)*0),H16*(Assumptions!$D$9+Assumptions!$D$10))))</f>
        <v>0</v>
      </c>
      <c r="K16" s="427">
        <f t="shared" si="4"/>
        <v>0</v>
      </c>
      <c r="L16" s="396">
        <f t="shared" si="5"/>
        <v>0</v>
      </c>
      <c r="M16" s="396">
        <f t="shared" si="6"/>
        <v>0</v>
      </c>
      <c r="N16" s="396">
        <f t="shared" si="7"/>
        <v>0</v>
      </c>
      <c r="O16" s="396">
        <f t="shared" si="8"/>
        <v>0</v>
      </c>
      <c r="P16" s="396">
        <f t="shared" si="9"/>
        <v>0</v>
      </c>
      <c r="Q16" s="396">
        <f t="shared" si="10"/>
        <v>0</v>
      </c>
      <c r="R16" s="396">
        <f t="shared" si="11"/>
        <v>0</v>
      </c>
      <c r="S16" s="427">
        <f t="shared" si="12"/>
        <v>0</v>
      </c>
      <c r="T16" s="433"/>
      <c r="U16" s="434"/>
      <c r="V16" s="435"/>
      <c r="W16" s="396">
        <f>IF(J16="Non-Clinical",IF($E16="Yes",IF(V16&gt;Assumptions!$D$18,(Assumptions!$D$18*Assumptions!$D$8),V16*Assumptions!$D$8),IF(V16&gt;Assumptions!$D$18,(Assumptions!$D$18*Assumptions!$D$6)+(('Salary Build Sheet (Clinical)'!V16-Assumptions!$D$18)*Assumptions!$D$13),V16*Assumptions!$D$6)),IF($E16="Yes",IF(V16&gt;Assumptions!$D$18,(Assumptions!$D$18*Assumptions!$D$8),V16*Assumptions!$D$8),IF(V16&gt;Assumptions!$D$18,(Assumptions!$D$18*Assumptions!$D$7)+(('Salary Build Sheet (Clinical)'!V16-Assumptions!$D$18)*Assumptions!$D$14),V16*Assumptions!$D$7)))</f>
        <v>0</v>
      </c>
      <c r="X16" s="396">
        <f>IF(K16="Non-Clinical",IF($E16="Yes",IF(V16&gt;Assumptions!$D$18,(Assumptions!$D$18*0),V16*0),IF(V16&gt;Assumptions!$D$18,(Assumptions!$D$18*(Assumptions!$D$9+Assumptions!$D$10))+(('Salary Build Sheet (Clinical)'!V16-Assumptions!$D$18)*0),V16*(Assumptions!$D$9+Assumptions!$D$10))),IF($E16="Yes",IF(V16&gt;Assumptions!$D$18,(Assumptions!$D$18*0),V16*0),IF(V16&gt;Assumptions!$D$18,(Assumptions!$D$18*(Assumptions!$D$9+Assumptions!$D$10))+(('Salary Build Sheet (Clinical)'!V16-Assumptions!$D$18)*0),V16*(Assumptions!$D$9+Assumptions!$D$10))))</f>
        <v>0</v>
      </c>
      <c r="Y16" s="427">
        <f t="shared" si="13"/>
        <v>0</v>
      </c>
      <c r="Z16" s="396">
        <f t="shared" si="14"/>
        <v>0</v>
      </c>
      <c r="AA16" s="396">
        <f t="shared" si="15"/>
        <v>0</v>
      </c>
      <c r="AB16" s="396">
        <f t="shared" si="16"/>
        <v>0</v>
      </c>
      <c r="AC16" s="396">
        <f t="shared" si="17"/>
        <v>0</v>
      </c>
      <c r="AD16" s="396">
        <f t="shared" si="18"/>
        <v>0</v>
      </c>
      <c r="AE16" s="396">
        <f t="shared" si="19"/>
        <v>0</v>
      </c>
      <c r="AF16" s="396">
        <f t="shared" si="20"/>
        <v>0</v>
      </c>
      <c r="AG16" s="427">
        <f t="shared" si="21"/>
        <v>0</v>
      </c>
      <c r="AH16" s="436"/>
      <c r="AI16" s="434"/>
      <c r="AJ16" s="435"/>
      <c r="AK16" s="396">
        <f>IF(X16="Non-Clinical",IF($E16="Yes",IF(AJ16&gt;Assumptions!$D$18,(Assumptions!$D$18*Assumptions!$D$8),AJ16*Assumptions!$D$8),IF(AJ16&gt;Assumptions!$D$18,(Assumptions!$D$18*Assumptions!$D$6)+(('Salary Build Sheet (Clinical)'!AJ16-Assumptions!$D$18)*Assumptions!$D$13),AJ16*Assumptions!$D$6)),IF($E16="Yes",IF(AJ16&gt;Assumptions!$D$18,(Assumptions!$D$18*Assumptions!$D$8),AJ16*Assumptions!$D$8),IF(AJ16&gt;Assumptions!$D$18,(Assumptions!$D$18*Assumptions!$D$7)+(('Salary Build Sheet (Clinical)'!AJ16-Assumptions!$D$18)*Assumptions!$D$14),AJ16*Assumptions!$D$7)))</f>
        <v>0</v>
      </c>
      <c r="AL16" s="396">
        <f>IF(Y16="Non-Clinical",IF($E16="Yes",IF(AJ16&gt;Assumptions!$D$18,(Assumptions!$D$18*0),AJ16*0),IF(AJ16&gt;Assumptions!$D$18,(Assumptions!$D$18*(Assumptions!$D$9+Assumptions!$D$10))+(('Salary Build Sheet (Clinical)'!AJ16-Assumptions!$D$18)*0),AJ16*(Assumptions!$D$9+Assumptions!$D$10))),IF($E16="Yes",IF(AJ16&gt;Assumptions!$D$18,(Assumptions!$D$18*0),AJ16*0),IF(AJ16&gt;Assumptions!$D$18,(Assumptions!$D$18*(Assumptions!$D$9+Assumptions!$D$10))+(('Salary Build Sheet (Clinical)'!AJ16-Assumptions!$D$18)*0),AJ16*(Assumptions!$D$9+Assumptions!$D$10))))</f>
        <v>0</v>
      </c>
      <c r="AM16" s="427">
        <f t="shared" si="22"/>
        <v>0</v>
      </c>
      <c r="AN16" s="429">
        <f t="shared" si="0"/>
        <v>0</v>
      </c>
      <c r="AO16" s="396">
        <f t="shared" si="1"/>
        <v>0</v>
      </c>
      <c r="AP16" s="396">
        <f t="shared" si="2"/>
        <v>0</v>
      </c>
      <c r="AQ16" s="396">
        <f t="shared" si="23"/>
        <v>0</v>
      </c>
      <c r="AR16" s="396">
        <f t="shared" si="24"/>
        <v>0</v>
      </c>
      <c r="AS16" s="396">
        <f t="shared" si="25"/>
        <v>0</v>
      </c>
      <c r="AT16" s="396">
        <f t="shared" si="26"/>
        <v>0</v>
      </c>
      <c r="AU16" s="427">
        <f t="shared" si="27"/>
        <v>0</v>
      </c>
      <c r="AV16" s="427">
        <f t="shared" si="3"/>
        <v>0</v>
      </c>
      <c r="AY16" s="229" t="str">
        <f>IF(G16&gt;0,(G16/#REF!)*H16," ")</f>
        <v xml:space="preserve"> </v>
      </c>
      <c r="AZ16" s="229" t="str">
        <f>IF(G16&gt;0,(G16/#REF!)*W16," ")</f>
        <v xml:space="preserve"> </v>
      </c>
      <c r="BA16" s="229">
        <f t="shared" si="28"/>
        <v>0</v>
      </c>
      <c r="BD16" s="230"/>
    </row>
    <row r="17" spans="2:55" s="226" customFormat="1" ht="16.5" customHeight="1" thickBot="1" x14ac:dyDescent="0.3">
      <c r="B17" s="438" t="s">
        <v>164</v>
      </c>
      <c r="C17" s="439"/>
      <c r="D17" s="439"/>
      <c r="E17" s="440"/>
      <c r="F17" s="441"/>
      <c r="G17" s="442">
        <f t="shared" ref="G17:V17" si="29">SUM(G10:G16)</f>
        <v>0</v>
      </c>
      <c r="H17" s="443">
        <f t="shared" si="29"/>
        <v>0</v>
      </c>
      <c r="I17" s="443">
        <f t="shared" si="29"/>
        <v>0</v>
      </c>
      <c r="J17" s="443">
        <f>SUM(J10:J16)</f>
        <v>0</v>
      </c>
      <c r="K17" s="444">
        <f>SUM(K10:K16)</f>
        <v>0</v>
      </c>
      <c r="L17" s="443">
        <f>SUM(L10:L16)</f>
        <v>0</v>
      </c>
      <c r="M17" s="443">
        <f t="shared" ref="M17:S17" si="30">SUM(M10:M16)</f>
        <v>0</v>
      </c>
      <c r="N17" s="443">
        <f t="shared" si="30"/>
        <v>0</v>
      </c>
      <c r="O17" s="443">
        <f t="shared" si="30"/>
        <v>0</v>
      </c>
      <c r="P17" s="443">
        <f t="shared" si="30"/>
        <v>0</v>
      </c>
      <c r="Q17" s="443">
        <f t="shared" si="30"/>
        <v>0</v>
      </c>
      <c r="R17" s="443">
        <f t="shared" si="30"/>
        <v>0</v>
      </c>
      <c r="S17" s="444">
        <f t="shared" si="30"/>
        <v>0</v>
      </c>
      <c r="T17" s="445">
        <f t="shared" si="29"/>
        <v>0</v>
      </c>
      <c r="U17" s="442"/>
      <c r="V17" s="443">
        <f t="shared" si="29"/>
        <v>0</v>
      </c>
      <c r="W17" s="443">
        <f t="shared" ref="W17" si="31">SUM(W10:W16)</f>
        <v>0</v>
      </c>
      <c r="X17" s="443">
        <f>SUM(X10:X16)</f>
        <v>0</v>
      </c>
      <c r="Y17" s="444">
        <f>SUM(Y10:Y16)</f>
        <v>0</v>
      </c>
      <c r="Z17" s="443">
        <f>SUM(Z10:Z16)</f>
        <v>0</v>
      </c>
      <c r="AA17" s="443">
        <f t="shared" ref="AA17" si="32">SUM(AA10:AA16)</f>
        <v>0</v>
      </c>
      <c r="AB17" s="443">
        <f t="shared" ref="AB17" si="33">SUM(AB10:AB16)</f>
        <v>0</v>
      </c>
      <c r="AC17" s="443">
        <f t="shared" ref="AC17" si="34">SUM(AC10:AC16)</f>
        <v>0</v>
      </c>
      <c r="AD17" s="443">
        <f t="shared" ref="AD17" si="35">SUM(AD10:AD16)</f>
        <v>0</v>
      </c>
      <c r="AE17" s="443">
        <f t="shared" ref="AE17" si="36">SUM(AE10:AE16)</f>
        <v>0</v>
      </c>
      <c r="AF17" s="443">
        <f t="shared" ref="AF17" si="37">SUM(AF10:AF16)</f>
        <v>0</v>
      </c>
      <c r="AG17" s="444">
        <f t="shared" ref="AG17" si="38">SUM(AG10:AG16)</f>
        <v>0</v>
      </c>
      <c r="AH17" s="442">
        <f>SUM(AH10:AH16)</f>
        <v>0</v>
      </c>
      <c r="AI17" s="442"/>
      <c r="AJ17" s="443">
        <f>SUM(AJ10:AJ16)</f>
        <v>0</v>
      </c>
      <c r="AK17" s="443">
        <f t="shared" ref="AK17" si="39">SUM(AK10:AK16)</f>
        <v>0</v>
      </c>
      <c r="AL17" s="443">
        <f>SUM(AL10:AL16)</f>
        <v>0</v>
      </c>
      <c r="AM17" s="444">
        <f>SUM(AM10:AM16)</f>
        <v>0</v>
      </c>
      <c r="AN17" s="446">
        <f>SUM(AN10:AN16)</f>
        <v>0</v>
      </c>
      <c r="AO17" s="443">
        <f t="shared" ref="AO17" si="40">SUM(AO10:AO16)</f>
        <v>0</v>
      </c>
      <c r="AP17" s="443">
        <f t="shared" ref="AP17" si="41">SUM(AP10:AP16)</f>
        <v>0</v>
      </c>
      <c r="AQ17" s="443">
        <f t="shared" ref="AQ17" si="42">SUM(AQ10:AQ16)</f>
        <v>0</v>
      </c>
      <c r="AR17" s="443">
        <f t="shared" ref="AR17" si="43">SUM(AR10:AR16)</f>
        <v>0</v>
      </c>
      <c r="AS17" s="443">
        <f t="shared" ref="AS17" si="44">SUM(AS10:AS16)</f>
        <v>0</v>
      </c>
      <c r="AT17" s="443">
        <f t="shared" ref="AT17" si="45">SUM(AT10:AT16)</f>
        <v>0</v>
      </c>
      <c r="AU17" s="444">
        <f t="shared" ref="AU17" si="46">SUM(AU10:AU16)</f>
        <v>0</v>
      </c>
      <c r="AV17" s="444">
        <f>SUM(AV10:AV16)</f>
        <v>0</v>
      </c>
      <c r="AY17" s="227">
        <f>SUM(AY10:AY16)</f>
        <v>0</v>
      </c>
      <c r="AZ17" s="227">
        <f>SUM(AZ10:AZ16)</f>
        <v>0</v>
      </c>
      <c r="BA17" s="227">
        <f>SUM(BA10:BA16)</f>
        <v>0</v>
      </c>
      <c r="BB17" s="227"/>
      <c r="BC17" s="231"/>
    </row>
    <row r="18" spans="2:55" x14ac:dyDescent="0.25">
      <c r="B18" s="423" t="s">
        <v>258</v>
      </c>
      <c r="C18" s="77"/>
      <c r="D18" s="77"/>
      <c r="E18" s="424"/>
      <c r="F18" s="425"/>
      <c r="G18" s="426"/>
      <c r="H18" s="396"/>
      <c r="I18" s="396"/>
      <c r="J18" s="396"/>
      <c r="K18" s="427"/>
      <c r="L18" s="396"/>
      <c r="M18" s="396"/>
      <c r="N18" s="396"/>
      <c r="O18" s="396"/>
      <c r="P18" s="396"/>
      <c r="Q18" s="396"/>
      <c r="R18" s="396"/>
      <c r="S18" s="427"/>
      <c r="T18" s="428"/>
      <c r="U18" s="426"/>
      <c r="V18" s="396"/>
      <c r="W18" s="396"/>
      <c r="X18" s="396"/>
      <c r="Y18" s="427"/>
      <c r="Z18" s="396"/>
      <c r="AA18" s="396"/>
      <c r="AB18" s="396"/>
      <c r="AC18" s="396"/>
      <c r="AD18" s="396"/>
      <c r="AE18" s="396"/>
      <c r="AF18" s="396"/>
      <c r="AG18" s="427"/>
      <c r="AH18" s="426"/>
      <c r="AI18" s="426"/>
      <c r="AJ18" s="396"/>
      <c r="AK18" s="396"/>
      <c r="AL18" s="396"/>
      <c r="AM18" s="427"/>
      <c r="AN18" s="429"/>
      <c r="AO18" s="396"/>
      <c r="AP18" s="396"/>
      <c r="AQ18" s="396"/>
      <c r="AR18" s="396"/>
      <c r="AS18" s="396"/>
      <c r="AT18" s="396"/>
      <c r="AU18" s="427"/>
      <c r="AV18" s="427"/>
    </row>
    <row r="19" spans="2:55" ht="15.75" customHeight="1" x14ac:dyDescent="0.25">
      <c r="B19" s="430"/>
      <c r="C19" s="431" t="s">
        <v>259</v>
      </c>
      <c r="D19" s="431"/>
      <c r="E19" s="431"/>
      <c r="F19" s="425"/>
      <c r="G19" s="426"/>
      <c r="H19" s="435"/>
      <c r="I19" s="396">
        <f>H19*Assumptions!$D$13</f>
        <v>0</v>
      </c>
      <c r="J19" s="396">
        <v>0</v>
      </c>
      <c r="K19" s="427">
        <f t="shared" ref="K19:K23" si="47">I19+H19+J19</f>
        <v>0</v>
      </c>
      <c r="L19" s="396">
        <f>H19</f>
        <v>0</v>
      </c>
      <c r="M19" s="396">
        <f>I19</f>
        <v>0</v>
      </c>
      <c r="N19" s="396">
        <f>J19</f>
        <v>0</v>
      </c>
      <c r="O19" s="396">
        <f t="shared" ref="O19:O23" si="48">SUM(L19:N19)</f>
        <v>0</v>
      </c>
      <c r="P19" s="396"/>
      <c r="Q19" s="396"/>
      <c r="R19" s="396"/>
      <c r="S19" s="427"/>
      <c r="T19" s="428"/>
      <c r="U19" s="426"/>
      <c r="V19" s="435"/>
      <c r="W19" s="396">
        <f>V19*Assumptions!$D$13</f>
        <v>0</v>
      </c>
      <c r="X19" s="396">
        <v>0</v>
      </c>
      <c r="Y19" s="427">
        <f t="shared" ref="Y19:Y23" si="49">W19+V19+X19</f>
        <v>0</v>
      </c>
      <c r="Z19" s="396">
        <f>V19</f>
        <v>0</v>
      </c>
      <c r="AA19" s="396">
        <f>W19</f>
        <v>0</v>
      </c>
      <c r="AB19" s="396">
        <f>X19</f>
        <v>0</v>
      </c>
      <c r="AC19" s="396">
        <f t="shared" ref="AC19:AC23" si="50">SUM(Z19:AB19)</f>
        <v>0</v>
      </c>
      <c r="AD19" s="396"/>
      <c r="AE19" s="396"/>
      <c r="AF19" s="396"/>
      <c r="AG19" s="427"/>
      <c r="AH19" s="426"/>
      <c r="AI19" s="426"/>
      <c r="AJ19" s="435"/>
      <c r="AK19" s="396">
        <f>AJ19*Assumptions!$D$13</f>
        <v>0</v>
      </c>
      <c r="AL19" s="396">
        <v>0</v>
      </c>
      <c r="AM19" s="427">
        <f t="shared" ref="AM19:AM23" si="51">AK19+AJ19+AL19</f>
        <v>0</v>
      </c>
      <c r="AN19" s="429">
        <f>AJ19</f>
        <v>0</v>
      </c>
      <c r="AO19" s="396">
        <f>AK19</f>
        <v>0</v>
      </c>
      <c r="AP19" s="396">
        <f>AL19</f>
        <v>0</v>
      </c>
      <c r="AQ19" s="396">
        <f t="shared" ref="AQ19:AQ23" si="52">SUM(AN19:AP19)</f>
        <v>0</v>
      </c>
      <c r="AR19" s="396"/>
      <c r="AS19" s="396"/>
      <c r="AT19" s="396"/>
      <c r="AU19" s="427"/>
      <c r="AV19" s="427">
        <f t="shared" ref="AV19:AV24" si="53">AM19+Y19+K19</f>
        <v>0</v>
      </c>
    </row>
    <row r="20" spans="2:55" x14ac:dyDescent="0.25">
      <c r="B20" s="430"/>
      <c r="C20" s="431" t="s">
        <v>261</v>
      </c>
      <c r="D20" s="431"/>
      <c r="E20" s="431"/>
      <c r="F20" s="425"/>
      <c r="G20" s="426"/>
      <c r="H20" s="435"/>
      <c r="I20" s="396">
        <f>H20*Assumptions!$D$13</f>
        <v>0</v>
      </c>
      <c r="J20" s="396">
        <v>0</v>
      </c>
      <c r="K20" s="427">
        <f t="shared" si="47"/>
        <v>0</v>
      </c>
      <c r="L20" s="396">
        <f t="shared" ref="L20:L23" si="54">H20</f>
        <v>0</v>
      </c>
      <c r="M20" s="396">
        <f t="shared" ref="M20:M23" si="55">I20</f>
        <v>0</v>
      </c>
      <c r="N20" s="396">
        <f t="shared" ref="N20:N23" si="56">J20</f>
        <v>0</v>
      </c>
      <c r="O20" s="396">
        <f t="shared" si="48"/>
        <v>0</v>
      </c>
      <c r="P20" s="396"/>
      <c r="Q20" s="396"/>
      <c r="R20" s="396"/>
      <c r="S20" s="427"/>
      <c r="T20" s="428"/>
      <c r="U20" s="426"/>
      <c r="V20" s="435"/>
      <c r="W20" s="396">
        <f>V20*Assumptions!$D$13</f>
        <v>0</v>
      </c>
      <c r="X20" s="396">
        <v>0</v>
      </c>
      <c r="Y20" s="427">
        <f t="shared" si="49"/>
        <v>0</v>
      </c>
      <c r="Z20" s="396">
        <f t="shared" ref="Z20:Z23" si="57">V20</f>
        <v>0</v>
      </c>
      <c r="AA20" s="396">
        <f t="shared" ref="AA20:AA23" si="58">W20</f>
        <v>0</v>
      </c>
      <c r="AB20" s="396">
        <f t="shared" ref="AB20:AB23" si="59">X20</f>
        <v>0</v>
      </c>
      <c r="AC20" s="396">
        <f t="shared" si="50"/>
        <v>0</v>
      </c>
      <c r="AD20" s="396"/>
      <c r="AE20" s="396"/>
      <c r="AF20" s="396"/>
      <c r="AG20" s="427"/>
      <c r="AH20" s="426"/>
      <c r="AI20" s="426"/>
      <c r="AJ20" s="435"/>
      <c r="AK20" s="396">
        <f>AJ20*Assumptions!$D$13</f>
        <v>0</v>
      </c>
      <c r="AL20" s="396">
        <v>0</v>
      </c>
      <c r="AM20" s="427">
        <f t="shared" si="51"/>
        <v>0</v>
      </c>
      <c r="AN20" s="429">
        <f t="shared" ref="AN20:AN23" si="60">AJ20</f>
        <v>0</v>
      </c>
      <c r="AO20" s="396">
        <f t="shared" ref="AO20:AO23" si="61">AK20</f>
        <v>0</v>
      </c>
      <c r="AP20" s="396">
        <f t="shared" ref="AP20:AP23" si="62">AL20</f>
        <v>0</v>
      </c>
      <c r="AQ20" s="396">
        <f t="shared" si="52"/>
        <v>0</v>
      </c>
      <c r="AR20" s="396"/>
      <c r="AS20" s="396"/>
      <c r="AT20" s="396"/>
      <c r="AU20" s="427"/>
      <c r="AV20" s="427">
        <f t="shared" si="53"/>
        <v>0</v>
      </c>
    </row>
    <row r="21" spans="2:55" ht="15.75" customHeight="1" x14ac:dyDescent="0.25">
      <c r="B21" s="430"/>
      <c r="C21" s="431" t="s">
        <v>260</v>
      </c>
      <c r="D21" s="431"/>
      <c r="E21" s="431"/>
      <c r="F21" s="425"/>
      <c r="G21" s="426"/>
      <c r="H21" s="435"/>
      <c r="I21" s="396">
        <f>H21*Assumptions!$D$13</f>
        <v>0</v>
      </c>
      <c r="J21" s="396">
        <v>0</v>
      </c>
      <c r="K21" s="427">
        <f t="shared" si="47"/>
        <v>0</v>
      </c>
      <c r="L21" s="396">
        <f t="shared" si="54"/>
        <v>0</v>
      </c>
      <c r="M21" s="396">
        <f t="shared" si="55"/>
        <v>0</v>
      </c>
      <c r="N21" s="396">
        <f t="shared" si="56"/>
        <v>0</v>
      </c>
      <c r="O21" s="396">
        <f t="shared" si="48"/>
        <v>0</v>
      </c>
      <c r="P21" s="396"/>
      <c r="Q21" s="396"/>
      <c r="R21" s="396"/>
      <c r="S21" s="427"/>
      <c r="T21" s="428"/>
      <c r="U21" s="426"/>
      <c r="V21" s="435"/>
      <c r="W21" s="396">
        <f>V21*Assumptions!$D$13</f>
        <v>0</v>
      </c>
      <c r="X21" s="396">
        <v>0</v>
      </c>
      <c r="Y21" s="427">
        <f t="shared" si="49"/>
        <v>0</v>
      </c>
      <c r="Z21" s="396">
        <f t="shared" si="57"/>
        <v>0</v>
      </c>
      <c r="AA21" s="396">
        <f t="shared" si="58"/>
        <v>0</v>
      </c>
      <c r="AB21" s="396">
        <f t="shared" si="59"/>
        <v>0</v>
      </c>
      <c r="AC21" s="396">
        <f t="shared" si="50"/>
        <v>0</v>
      </c>
      <c r="AD21" s="396"/>
      <c r="AE21" s="396"/>
      <c r="AF21" s="396"/>
      <c r="AG21" s="427"/>
      <c r="AH21" s="426"/>
      <c r="AI21" s="426"/>
      <c r="AJ21" s="435"/>
      <c r="AK21" s="396">
        <f>AJ21*Assumptions!$D$13</f>
        <v>0</v>
      </c>
      <c r="AL21" s="396">
        <v>0</v>
      </c>
      <c r="AM21" s="427">
        <f t="shared" si="51"/>
        <v>0</v>
      </c>
      <c r="AN21" s="429">
        <f t="shared" si="60"/>
        <v>0</v>
      </c>
      <c r="AO21" s="396">
        <f t="shared" si="61"/>
        <v>0</v>
      </c>
      <c r="AP21" s="396">
        <f t="shared" si="62"/>
        <v>0</v>
      </c>
      <c r="AQ21" s="396">
        <f t="shared" si="52"/>
        <v>0</v>
      </c>
      <c r="AR21" s="396"/>
      <c r="AS21" s="396"/>
      <c r="AT21" s="396"/>
      <c r="AU21" s="427"/>
      <c r="AV21" s="427">
        <f t="shared" si="53"/>
        <v>0</v>
      </c>
    </row>
    <row r="22" spans="2:55" x14ac:dyDescent="0.25">
      <c r="B22" s="430"/>
      <c r="C22" s="431" t="s">
        <v>262</v>
      </c>
      <c r="D22" s="431"/>
      <c r="E22" s="431"/>
      <c r="F22" s="425"/>
      <c r="G22" s="426"/>
      <c r="H22" s="435"/>
      <c r="I22" s="396">
        <f>H22*Assumptions!$D$13</f>
        <v>0</v>
      </c>
      <c r="J22" s="396">
        <v>0</v>
      </c>
      <c r="K22" s="427">
        <f t="shared" si="47"/>
        <v>0</v>
      </c>
      <c r="L22" s="396">
        <f t="shared" si="54"/>
        <v>0</v>
      </c>
      <c r="M22" s="396">
        <f t="shared" si="55"/>
        <v>0</v>
      </c>
      <c r="N22" s="396">
        <f t="shared" si="56"/>
        <v>0</v>
      </c>
      <c r="O22" s="396">
        <f t="shared" si="48"/>
        <v>0</v>
      </c>
      <c r="P22" s="396"/>
      <c r="Q22" s="396"/>
      <c r="R22" s="396"/>
      <c r="S22" s="427"/>
      <c r="T22" s="428"/>
      <c r="U22" s="426"/>
      <c r="V22" s="435"/>
      <c r="W22" s="396">
        <f>V22*Assumptions!$D$13</f>
        <v>0</v>
      </c>
      <c r="X22" s="396">
        <v>0</v>
      </c>
      <c r="Y22" s="427">
        <f t="shared" si="49"/>
        <v>0</v>
      </c>
      <c r="Z22" s="396">
        <f t="shared" si="57"/>
        <v>0</v>
      </c>
      <c r="AA22" s="396">
        <f t="shared" si="58"/>
        <v>0</v>
      </c>
      <c r="AB22" s="396">
        <f t="shared" si="59"/>
        <v>0</v>
      </c>
      <c r="AC22" s="396">
        <f t="shared" si="50"/>
        <v>0</v>
      </c>
      <c r="AD22" s="396"/>
      <c r="AE22" s="396"/>
      <c r="AF22" s="396"/>
      <c r="AG22" s="427"/>
      <c r="AH22" s="426"/>
      <c r="AI22" s="426"/>
      <c r="AJ22" s="435"/>
      <c r="AK22" s="396">
        <f>AJ22*Assumptions!$D$13</f>
        <v>0</v>
      </c>
      <c r="AL22" s="396">
        <v>0</v>
      </c>
      <c r="AM22" s="427">
        <f t="shared" si="51"/>
        <v>0</v>
      </c>
      <c r="AN22" s="429">
        <f t="shared" si="60"/>
        <v>0</v>
      </c>
      <c r="AO22" s="396">
        <f t="shared" si="61"/>
        <v>0</v>
      </c>
      <c r="AP22" s="396">
        <f t="shared" si="62"/>
        <v>0</v>
      </c>
      <c r="AQ22" s="396">
        <f t="shared" si="52"/>
        <v>0</v>
      </c>
      <c r="AR22" s="396"/>
      <c r="AS22" s="396"/>
      <c r="AT22" s="396"/>
      <c r="AU22" s="427"/>
      <c r="AV22" s="427">
        <f t="shared" si="53"/>
        <v>0</v>
      </c>
    </row>
    <row r="23" spans="2:55" ht="16.5" customHeight="1" thickBot="1" x14ac:dyDescent="0.3">
      <c r="B23" s="430"/>
      <c r="C23" s="431" t="s">
        <v>263</v>
      </c>
      <c r="D23" s="431"/>
      <c r="E23" s="431"/>
      <c r="F23" s="425"/>
      <c r="G23" s="426"/>
      <c r="H23" s="435"/>
      <c r="I23" s="396">
        <f>H23*Assumptions!$D$13</f>
        <v>0</v>
      </c>
      <c r="J23" s="396">
        <v>0</v>
      </c>
      <c r="K23" s="427">
        <f t="shared" si="47"/>
        <v>0</v>
      </c>
      <c r="L23" s="396">
        <f t="shared" si="54"/>
        <v>0</v>
      </c>
      <c r="M23" s="396">
        <f t="shared" si="55"/>
        <v>0</v>
      </c>
      <c r="N23" s="396">
        <f t="shared" si="56"/>
        <v>0</v>
      </c>
      <c r="O23" s="396">
        <f t="shared" si="48"/>
        <v>0</v>
      </c>
      <c r="P23" s="396"/>
      <c r="Q23" s="396"/>
      <c r="R23" s="396"/>
      <c r="S23" s="427"/>
      <c r="T23" s="428"/>
      <c r="U23" s="426"/>
      <c r="V23" s="435"/>
      <c r="W23" s="396">
        <f>V23*Assumptions!$D$13</f>
        <v>0</v>
      </c>
      <c r="X23" s="396">
        <v>0</v>
      </c>
      <c r="Y23" s="427">
        <f t="shared" si="49"/>
        <v>0</v>
      </c>
      <c r="Z23" s="396">
        <f t="shared" si="57"/>
        <v>0</v>
      </c>
      <c r="AA23" s="396">
        <f t="shared" si="58"/>
        <v>0</v>
      </c>
      <c r="AB23" s="396">
        <f t="shared" si="59"/>
        <v>0</v>
      </c>
      <c r="AC23" s="396">
        <f t="shared" si="50"/>
        <v>0</v>
      </c>
      <c r="AD23" s="396"/>
      <c r="AE23" s="396"/>
      <c r="AF23" s="396"/>
      <c r="AG23" s="427"/>
      <c r="AH23" s="426"/>
      <c r="AI23" s="426"/>
      <c r="AJ23" s="435"/>
      <c r="AK23" s="396">
        <f>AJ23*Assumptions!$D$13</f>
        <v>0</v>
      </c>
      <c r="AL23" s="396">
        <v>0</v>
      </c>
      <c r="AM23" s="427">
        <f t="shared" si="51"/>
        <v>0</v>
      </c>
      <c r="AN23" s="429">
        <f t="shared" si="60"/>
        <v>0</v>
      </c>
      <c r="AO23" s="396">
        <f t="shared" si="61"/>
        <v>0</v>
      </c>
      <c r="AP23" s="396">
        <f t="shared" si="62"/>
        <v>0</v>
      </c>
      <c r="AQ23" s="396">
        <f t="shared" si="52"/>
        <v>0</v>
      </c>
      <c r="AR23" s="396"/>
      <c r="AS23" s="396"/>
      <c r="AT23" s="396"/>
      <c r="AU23" s="427"/>
      <c r="AV23" s="427">
        <f t="shared" si="53"/>
        <v>0</v>
      </c>
    </row>
    <row r="24" spans="2:55" s="226" customFormat="1" ht="16.5" thickBot="1" x14ac:dyDescent="0.3">
      <c r="B24" s="438" t="s">
        <v>218</v>
      </c>
      <c r="C24" s="439"/>
      <c r="D24" s="439"/>
      <c r="E24" s="440"/>
      <c r="F24" s="441"/>
      <c r="G24" s="442">
        <f>SUM(G18:G23)</f>
        <v>0</v>
      </c>
      <c r="H24" s="443">
        <f>SUM(H18:H23)</f>
        <v>0</v>
      </c>
      <c r="I24" s="443">
        <f t="shared" ref="I24" si="63">SUM(I18:I23)</f>
        <v>0</v>
      </c>
      <c r="J24" s="443">
        <f>SUM(J18:J23)</f>
        <v>0</v>
      </c>
      <c r="K24" s="444">
        <f>SUM(K18:K23)</f>
        <v>0</v>
      </c>
      <c r="L24" s="443">
        <f t="shared" ref="L24:N24" si="64">SUM(L18:L23)</f>
        <v>0</v>
      </c>
      <c r="M24" s="443">
        <f t="shared" si="64"/>
        <v>0</v>
      </c>
      <c r="N24" s="443">
        <f t="shared" si="64"/>
        <v>0</v>
      </c>
      <c r="O24" s="443">
        <f>SUM(O18:O23)</f>
        <v>0</v>
      </c>
      <c r="P24" s="443">
        <f t="shared" ref="P24" si="65">SUM(P18:P23)</f>
        <v>0</v>
      </c>
      <c r="Q24" s="443">
        <f t="shared" ref="Q24" si="66">SUM(Q18:Q23)</f>
        <v>0</v>
      </c>
      <c r="R24" s="443">
        <f t="shared" ref="R24" si="67">SUM(R18:R23)</f>
        <v>0</v>
      </c>
      <c r="S24" s="444">
        <f t="shared" ref="S24" si="68">SUM(S18:S23)</f>
        <v>0</v>
      </c>
      <c r="T24" s="445">
        <f t="shared" ref="T24" si="69">SUM(T18:T23)</f>
        <v>0</v>
      </c>
      <c r="U24" s="442"/>
      <c r="V24" s="443">
        <f t="shared" ref="V24:AJ24" si="70">SUM(V18:V23)</f>
        <v>0</v>
      </c>
      <c r="W24" s="443">
        <f t="shared" si="70"/>
        <v>0</v>
      </c>
      <c r="X24" s="443">
        <f>SUM(X18:X23)</f>
        <v>0</v>
      </c>
      <c r="Y24" s="444">
        <f>SUM(Y18:Y23)</f>
        <v>0</v>
      </c>
      <c r="Z24" s="443">
        <f t="shared" ref="Z24" si="71">SUM(Z18:Z23)</f>
        <v>0</v>
      </c>
      <c r="AA24" s="443">
        <f t="shared" ref="AA24" si="72">SUM(AA18:AA23)</f>
        <v>0</v>
      </c>
      <c r="AB24" s="443">
        <f t="shared" ref="AB24" si="73">SUM(AB18:AB23)</f>
        <v>0</v>
      </c>
      <c r="AC24" s="443">
        <f>SUM(AC18:AC23)</f>
        <v>0</v>
      </c>
      <c r="AD24" s="443">
        <f t="shared" ref="AD24" si="74">SUM(AD18:AD23)</f>
        <v>0</v>
      </c>
      <c r="AE24" s="443">
        <f t="shared" ref="AE24" si="75">SUM(AE18:AE23)</f>
        <v>0</v>
      </c>
      <c r="AF24" s="443">
        <f t="shared" ref="AF24" si="76">SUM(AF18:AF23)</f>
        <v>0</v>
      </c>
      <c r="AG24" s="444">
        <f t="shared" ref="AG24" si="77">SUM(AG18:AG23)</f>
        <v>0</v>
      </c>
      <c r="AH24" s="442">
        <f t="shared" si="70"/>
        <v>0</v>
      </c>
      <c r="AI24" s="442"/>
      <c r="AJ24" s="443">
        <f t="shared" si="70"/>
        <v>0</v>
      </c>
      <c r="AK24" s="443">
        <f t="shared" ref="AK24" si="78">SUM(AK18:AK23)</f>
        <v>0</v>
      </c>
      <c r="AL24" s="443">
        <f>SUM(AL18:AL23)</f>
        <v>0</v>
      </c>
      <c r="AM24" s="444">
        <f>SUM(AM18:AM23)</f>
        <v>0</v>
      </c>
      <c r="AN24" s="446">
        <f t="shared" ref="AN24" si="79">SUM(AN18:AN23)</f>
        <v>0</v>
      </c>
      <c r="AO24" s="443">
        <f t="shared" ref="AO24" si="80">SUM(AO18:AO23)</f>
        <v>0</v>
      </c>
      <c r="AP24" s="443">
        <f t="shared" ref="AP24" si="81">SUM(AP18:AP23)</f>
        <v>0</v>
      </c>
      <c r="AQ24" s="443">
        <f>SUM(AQ18:AQ23)</f>
        <v>0</v>
      </c>
      <c r="AR24" s="443">
        <f t="shared" ref="AR24" si="82">SUM(AR18:AR23)</f>
        <v>0</v>
      </c>
      <c r="AS24" s="443">
        <f t="shared" ref="AS24" si="83">SUM(AS18:AS23)</f>
        <v>0</v>
      </c>
      <c r="AT24" s="443">
        <f t="shared" ref="AT24" si="84">SUM(AT18:AT23)</f>
        <v>0</v>
      </c>
      <c r="AU24" s="444">
        <f t="shared" ref="AU24" si="85">SUM(AU18:AU23)</f>
        <v>0</v>
      </c>
      <c r="AV24" s="444">
        <f t="shared" si="53"/>
        <v>0</v>
      </c>
    </row>
    <row r="25" spans="2:55" s="226" customFormat="1" ht="16.5" customHeight="1" thickBot="1" x14ac:dyDescent="0.3">
      <c r="B25" s="447" t="s">
        <v>170</v>
      </c>
      <c r="C25" s="448"/>
      <c r="D25" s="448"/>
      <c r="E25" s="449"/>
      <c r="F25" s="450"/>
      <c r="G25" s="451">
        <f>G17</f>
        <v>0</v>
      </c>
      <c r="H25" s="452">
        <f>H24+H17</f>
        <v>0</v>
      </c>
      <c r="I25" s="452">
        <f t="shared" ref="I25:K25" si="86">I24+I17</f>
        <v>0</v>
      </c>
      <c r="J25" s="452">
        <f t="shared" ref="J25" si="87">J24+J17</f>
        <v>0</v>
      </c>
      <c r="K25" s="453">
        <f t="shared" si="86"/>
        <v>0</v>
      </c>
      <c r="L25" s="452">
        <f t="shared" ref="L25:N25" si="88">L24+L17</f>
        <v>0</v>
      </c>
      <c r="M25" s="452">
        <f t="shared" si="88"/>
        <v>0</v>
      </c>
      <c r="N25" s="452">
        <f t="shared" si="88"/>
        <v>0</v>
      </c>
      <c r="O25" s="452">
        <f>O24+O17</f>
        <v>0</v>
      </c>
      <c r="P25" s="452">
        <f t="shared" ref="P25:S25" si="89">P24+P17</f>
        <v>0</v>
      </c>
      <c r="Q25" s="452">
        <f t="shared" si="89"/>
        <v>0</v>
      </c>
      <c r="R25" s="452">
        <f t="shared" si="89"/>
        <v>0</v>
      </c>
      <c r="S25" s="453">
        <f t="shared" si="89"/>
        <v>0</v>
      </c>
      <c r="T25" s="454">
        <f t="shared" ref="T25" si="90">T17</f>
        <v>0</v>
      </c>
      <c r="U25" s="451"/>
      <c r="V25" s="452">
        <f t="shared" ref="V25:AB25" si="91">V24+V17</f>
        <v>0</v>
      </c>
      <c r="W25" s="452">
        <f t="shared" si="91"/>
        <v>0</v>
      </c>
      <c r="X25" s="452">
        <f t="shared" si="91"/>
        <v>0</v>
      </c>
      <c r="Y25" s="453">
        <f t="shared" si="91"/>
        <v>0</v>
      </c>
      <c r="Z25" s="452">
        <f t="shared" si="91"/>
        <v>0</v>
      </c>
      <c r="AA25" s="452">
        <f t="shared" si="91"/>
        <v>0</v>
      </c>
      <c r="AB25" s="452">
        <f t="shared" si="91"/>
        <v>0</v>
      </c>
      <c r="AC25" s="452">
        <f>AC24+AC17</f>
        <v>0</v>
      </c>
      <c r="AD25" s="452">
        <f t="shared" ref="AD25:AG25" si="92">AD24+AD17</f>
        <v>0</v>
      </c>
      <c r="AE25" s="452">
        <f t="shared" si="92"/>
        <v>0</v>
      </c>
      <c r="AF25" s="452">
        <f t="shared" si="92"/>
        <v>0</v>
      </c>
      <c r="AG25" s="453">
        <f t="shared" si="92"/>
        <v>0</v>
      </c>
      <c r="AH25" s="451">
        <f t="shared" ref="AH25" si="93">AH17</f>
        <v>0</v>
      </c>
      <c r="AI25" s="451"/>
      <c r="AJ25" s="452">
        <f t="shared" ref="AJ25:AP25" si="94">AJ24+AJ17</f>
        <v>0</v>
      </c>
      <c r="AK25" s="452">
        <f t="shared" si="94"/>
        <v>0</v>
      </c>
      <c r="AL25" s="452">
        <f t="shared" si="94"/>
        <v>0</v>
      </c>
      <c r="AM25" s="453">
        <f t="shared" si="94"/>
        <v>0</v>
      </c>
      <c r="AN25" s="455">
        <f t="shared" si="94"/>
        <v>0</v>
      </c>
      <c r="AO25" s="452">
        <f t="shared" si="94"/>
        <v>0</v>
      </c>
      <c r="AP25" s="452">
        <f t="shared" si="94"/>
        <v>0</v>
      </c>
      <c r="AQ25" s="452">
        <f>AQ24+AQ17</f>
        <v>0</v>
      </c>
      <c r="AR25" s="452">
        <f t="shared" ref="AR25:AU25" si="95">AR24+AR17</f>
        <v>0</v>
      </c>
      <c r="AS25" s="452">
        <f t="shared" si="95"/>
        <v>0</v>
      </c>
      <c r="AT25" s="452">
        <f t="shared" si="95"/>
        <v>0</v>
      </c>
      <c r="AU25" s="453">
        <f t="shared" si="95"/>
        <v>0</v>
      </c>
      <c r="AV25" s="453">
        <f>AV24+AV17</f>
        <v>0</v>
      </c>
      <c r="BA25" s="231"/>
      <c r="BB25" s="231"/>
    </row>
    <row r="26" spans="2:55" s="226" customFormat="1" x14ac:dyDescent="0.25">
      <c r="B26" s="423" t="s">
        <v>156</v>
      </c>
      <c r="C26" s="77"/>
      <c r="D26" s="77"/>
      <c r="E26" s="424"/>
      <c r="F26" s="425"/>
      <c r="G26" s="426"/>
      <c r="H26" s="396"/>
      <c r="I26" s="396"/>
      <c r="J26" s="396"/>
      <c r="K26" s="427"/>
      <c r="L26" s="396"/>
      <c r="M26" s="396"/>
      <c r="N26" s="396"/>
      <c r="O26" s="396"/>
      <c r="P26" s="396"/>
      <c r="Q26" s="396"/>
      <c r="R26" s="396"/>
      <c r="S26" s="427"/>
      <c r="T26" s="428"/>
      <c r="U26" s="426"/>
      <c r="V26" s="396"/>
      <c r="W26" s="396"/>
      <c r="X26" s="396"/>
      <c r="Y26" s="427"/>
      <c r="Z26" s="396"/>
      <c r="AA26" s="396"/>
      <c r="AB26" s="396"/>
      <c r="AC26" s="396"/>
      <c r="AD26" s="396"/>
      <c r="AE26" s="396"/>
      <c r="AF26" s="396"/>
      <c r="AG26" s="427"/>
      <c r="AH26" s="426"/>
      <c r="AI26" s="426"/>
      <c r="AJ26" s="396"/>
      <c r="AK26" s="396"/>
      <c r="AL26" s="396"/>
      <c r="AM26" s="427"/>
      <c r="AN26" s="429"/>
      <c r="AO26" s="396"/>
      <c r="AP26" s="396"/>
      <c r="AQ26" s="396"/>
      <c r="AR26" s="396"/>
      <c r="AS26" s="396"/>
      <c r="AT26" s="396"/>
      <c r="AU26" s="427"/>
      <c r="AV26" s="427"/>
    </row>
    <row r="27" spans="2:55" ht="15.75" customHeight="1" x14ac:dyDescent="0.25">
      <c r="B27" s="430"/>
      <c r="C27" s="431"/>
      <c r="D27" s="431"/>
      <c r="E27" s="432"/>
      <c r="F27" s="433"/>
      <c r="G27" s="431"/>
      <c r="H27" s="435"/>
      <c r="I27" s="396">
        <f>IF($E27="Yes",H27*Assumptions!$D$8,H27*Assumptions!$D$6)</f>
        <v>0</v>
      </c>
      <c r="J27" s="396">
        <f>IF($E27="Yes",H27*0,H27*(Assumptions!$D$9))</f>
        <v>0</v>
      </c>
      <c r="K27" s="427">
        <f t="shared" ref="K27:K32" si="96">I27+H27+J27</f>
        <v>0</v>
      </c>
      <c r="L27" s="396">
        <f>H27*F27</f>
        <v>0</v>
      </c>
      <c r="M27" s="396">
        <f>I27*F27</f>
        <v>0</v>
      </c>
      <c r="N27" s="396">
        <f>J27*F27</f>
        <v>0</v>
      </c>
      <c r="O27" s="396">
        <f>SUM(L27:N27)</f>
        <v>0</v>
      </c>
      <c r="P27" s="396">
        <f>H27*G27</f>
        <v>0</v>
      </c>
      <c r="Q27" s="396">
        <f>I27*G27</f>
        <v>0</v>
      </c>
      <c r="R27" s="396">
        <f>J27*G27</f>
        <v>0</v>
      </c>
      <c r="S27" s="427">
        <f>SUM(P27:R27)</f>
        <v>0</v>
      </c>
      <c r="T27" s="433"/>
      <c r="U27" s="431"/>
      <c r="V27" s="435"/>
      <c r="W27" s="396">
        <f>IF($E27="Yes",V27*Assumptions!$D$8,V27*Assumptions!$D$6)</f>
        <v>0</v>
      </c>
      <c r="X27" s="396">
        <f>IF($E27="Yes",V27*0,V27*(Assumptions!$D$9))</f>
        <v>0</v>
      </c>
      <c r="Y27" s="427">
        <f t="shared" ref="Y27:Y32" si="97">W27+V27+X27</f>
        <v>0</v>
      </c>
      <c r="Z27" s="396">
        <f>V27*T27</f>
        <v>0</v>
      </c>
      <c r="AA27" s="396">
        <f>W27*T27</f>
        <v>0</v>
      </c>
      <c r="AB27" s="396">
        <f>X27*T27</f>
        <v>0</v>
      </c>
      <c r="AC27" s="396">
        <f>SUM(Z27:AB27)</f>
        <v>0</v>
      </c>
      <c r="AD27" s="396">
        <f>V27*U27</f>
        <v>0</v>
      </c>
      <c r="AE27" s="396">
        <f>W27*U27</f>
        <v>0</v>
      </c>
      <c r="AF27" s="396">
        <f>X27*U27</f>
        <v>0</v>
      </c>
      <c r="AG27" s="427">
        <f>SUM(AD27:AF27)</f>
        <v>0</v>
      </c>
      <c r="AH27" s="433"/>
      <c r="AI27" s="431"/>
      <c r="AJ27" s="435"/>
      <c r="AK27" s="396">
        <f>IF($E27="Yes",AJ27*Assumptions!$D$8,AJ27*Assumptions!$D$6)</f>
        <v>0</v>
      </c>
      <c r="AL27" s="396">
        <f>IF($E27="Yes",AJ27*0,AJ27*(Assumptions!$D$9))</f>
        <v>0</v>
      </c>
      <c r="AM27" s="427">
        <f t="shared" ref="AM27:AM32" si="98">AK27+AJ27+AL27</f>
        <v>0</v>
      </c>
      <c r="AN27" s="429">
        <f t="shared" ref="AN27:AN32" si="99">AJ27*AH27</f>
        <v>0</v>
      </c>
      <c r="AO27" s="396">
        <f t="shared" ref="AO27:AO32" si="100">AK27*AH27</f>
        <v>0</v>
      </c>
      <c r="AP27" s="396">
        <f t="shared" ref="AP27:AP32" si="101">AL27*AH27</f>
        <v>0</v>
      </c>
      <c r="AQ27" s="396">
        <f t="shared" ref="AQ27:AQ32" si="102">SUM(AN27:AP27)</f>
        <v>0</v>
      </c>
      <c r="AR27" s="396">
        <f t="shared" ref="AR27:AR32" si="103">AJ27*AI27</f>
        <v>0</v>
      </c>
      <c r="AS27" s="396">
        <f t="shared" ref="AS27:AS32" si="104">AK27*AI27</f>
        <v>0</v>
      </c>
      <c r="AT27" s="396">
        <f t="shared" ref="AT27:AT32" si="105">AL27*AI27</f>
        <v>0</v>
      </c>
      <c r="AU27" s="427">
        <f t="shared" ref="AU27:AU32" si="106">SUM(AR27:AT27)</f>
        <v>0</v>
      </c>
      <c r="AV27" s="427">
        <f t="shared" ref="AV27:AV32" si="107">AM27+Y27+K27</f>
        <v>0</v>
      </c>
    </row>
    <row r="28" spans="2:55" x14ac:dyDescent="0.25">
      <c r="B28" s="430"/>
      <c r="C28" s="431"/>
      <c r="D28" s="431"/>
      <c r="E28" s="432"/>
      <c r="F28" s="433"/>
      <c r="G28" s="431"/>
      <c r="H28" s="435"/>
      <c r="I28" s="396">
        <f>IF($E28="Yes",H28*Assumptions!$D$8,H28*Assumptions!$D$6)</f>
        <v>0</v>
      </c>
      <c r="J28" s="396">
        <f>IF($E28="Yes",H28*0,H28*(Assumptions!$D$9))</f>
        <v>0</v>
      </c>
      <c r="K28" s="427">
        <f t="shared" si="96"/>
        <v>0</v>
      </c>
      <c r="L28" s="396">
        <f t="shared" ref="L28:L32" si="108">H28*F28</f>
        <v>0</v>
      </c>
      <c r="M28" s="396">
        <f t="shared" ref="M28:M32" si="109">I28*F28</f>
        <v>0</v>
      </c>
      <c r="N28" s="396">
        <f t="shared" ref="N28:N32" si="110">J28*F28</f>
        <v>0</v>
      </c>
      <c r="O28" s="396">
        <f t="shared" ref="O28:O32" si="111">SUM(L28:N28)</f>
        <v>0</v>
      </c>
      <c r="P28" s="396">
        <f t="shared" ref="P28:P32" si="112">H28*G28</f>
        <v>0</v>
      </c>
      <c r="Q28" s="396">
        <f t="shared" ref="Q28:Q32" si="113">I28*G28</f>
        <v>0</v>
      </c>
      <c r="R28" s="396">
        <f t="shared" ref="R28:R32" si="114">J28*G28</f>
        <v>0</v>
      </c>
      <c r="S28" s="427">
        <f t="shared" ref="S28:S32" si="115">SUM(P28:R28)</f>
        <v>0</v>
      </c>
      <c r="T28" s="433"/>
      <c r="U28" s="431"/>
      <c r="V28" s="435"/>
      <c r="W28" s="396">
        <f>IF($E28="Yes",V28*Assumptions!$D$8,V28*Assumptions!$D$6)</f>
        <v>0</v>
      </c>
      <c r="X28" s="396">
        <f>IF($E28="Yes",V28*0,V28*(Assumptions!$D$9))</f>
        <v>0</v>
      </c>
      <c r="Y28" s="427">
        <f t="shared" si="97"/>
        <v>0</v>
      </c>
      <c r="Z28" s="396">
        <f t="shared" ref="Z28:Z32" si="116">V28*T28</f>
        <v>0</v>
      </c>
      <c r="AA28" s="396">
        <f t="shared" ref="AA28:AA32" si="117">W28*T28</f>
        <v>0</v>
      </c>
      <c r="AB28" s="396">
        <f t="shared" ref="AB28:AB32" si="118">X28*T28</f>
        <v>0</v>
      </c>
      <c r="AC28" s="396">
        <f t="shared" ref="AC28:AC32" si="119">SUM(Z28:AB28)</f>
        <v>0</v>
      </c>
      <c r="AD28" s="396">
        <f t="shared" ref="AD28:AD32" si="120">V28*U28</f>
        <v>0</v>
      </c>
      <c r="AE28" s="396">
        <f t="shared" ref="AE28:AE32" si="121">W28*U28</f>
        <v>0</v>
      </c>
      <c r="AF28" s="396">
        <f t="shared" ref="AF28:AF32" si="122">X28*U28</f>
        <v>0</v>
      </c>
      <c r="AG28" s="427">
        <f t="shared" ref="AG28:AG32" si="123">SUM(AD28:AF28)</f>
        <v>0</v>
      </c>
      <c r="AH28" s="433"/>
      <c r="AI28" s="431"/>
      <c r="AJ28" s="435"/>
      <c r="AK28" s="396">
        <f>IF($E28="Yes",AJ28*Assumptions!$D$8,AJ28*Assumptions!$D$6)</f>
        <v>0</v>
      </c>
      <c r="AL28" s="396">
        <f>IF($E28="Yes",AJ28*0,AJ28*(Assumptions!$D$9))</f>
        <v>0</v>
      </c>
      <c r="AM28" s="427">
        <f t="shared" si="98"/>
        <v>0</v>
      </c>
      <c r="AN28" s="429">
        <f t="shared" si="99"/>
        <v>0</v>
      </c>
      <c r="AO28" s="396">
        <f t="shared" si="100"/>
        <v>0</v>
      </c>
      <c r="AP28" s="396">
        <f t="shared" si="101"/>
        <v>0</v>
      </c>
      <c r="AQ28" s="396">
        <f t="shared" si="102"/>
        <v>0</v>
      </c>
      <c r="AR28" s="396">
        <f t="shared" si="103"/>
        <v>0</v>
      </c>
      <c r="AS28" s="396">
        <f t="shared" si="104"/>
        <v>0</v>
      </c>
      <c r="AT28" s="396">
        <f t="shared" si="105"/>
        <v>0</v>
      </c>
      <c r="AU28" s="427">
        <f t="shared" si="106"/>
        <v>0</v>
      </c>
      <c r="AV28" s="427">
        <f t="shared" si="107"/>
        <v>0</v>
      </c>
    </row>
    <row r="29" spans="2:55" ht="15.75" customHeight="1" x14ac:dyDescent="0.25">
      <c r="B29" s="430"/>
      <c r="C29" s="431"/>
      <c r="D29" s="431"/>
      <c r="E29" s="432"/>
      <c r="F29" s="433"/>
      <c r="G29" s="431"/>
      <c r="H29" s="435"/>
      <c r="I29" s="396">
        <f>IF($E29="Yes",H29*Assumptions!$D$8,H29*Assumptions!$D$6)</f>
        <v>0</v>
      </c>
      <c r="J29" s="396">
        <f>IF($E29="Yes",H29*0,H29*(Assumptions!$D$9))</f>
        <v>0</v>
      </c>
      <c r="K29" s="427">
        <f t="shared" si="96"/>
        <v>0</v>
      </c>
      <c r="L29" s="396">
        <f t="shared" si="108"/>
        <v>0</v>
      </c>
      <c r="M29" s="396">
        <f t="shared" si="109"/>
        <v>0</v>
      </c>
      <c r="N29" s="396">
        <f t="shared" si="110"/>
        <v>0</v>
      </c>
      <c r="O29" s="396">
        <f t="shared" si="111"/>
        <v>0</v>
      </c>
      <c r="P29" s="396">
        <f t="shared" si="112"/>
        <v>0</v>
      </c>
      <c r="Q29" s="396">
        <f t="shared" si="113"/>
        <v>0</v>
      </c>
      <c r="R29" s="396">
        <f t="shared" si="114"/>
        <v>0</v>
      </c>
      <c r="S29" s="427">
        <f t="shared" si="115"/>
        <v>0</v>
      </c>
      <c r="T29" s="433"/>
      <c r="U29" s="431"/>
      <c r="V29" s="435"/>
      <c r="W29" s="396">
        <f>IF($E29="Yes",V29*Assumptions!$D$8,V29*Assumptions!$D$6)</f>
        <v>0</v>
      </c>
      <c r="X29" s="396">
        <f>IF($E29="Yes",V29*0,V29*(Assumptions!$D$9))</f>
        <v>0</v>
      </c>
      <c r="Y29" s="427">
        <f t="shared" si="97"/>
        <v>0</v>
      </c>
      <c r="Z29" s="396">
        <f t="shared" si="116"/>
        <v>0</v>
      </c>
      <c r="AA29" s="396">
        <f t="shared" si="117"/>
        <v>0</v>
      </c>
      <c r="AB29" s="396">
        <f t="shared" si="118"/>
        <v>0</v>
      </c>
      <c r="AC29" s="396">
        <f t="shared" si="119"/>
        <v>0</v>
      </c>
      <c r="AD29" s="396">
        <f t="shared" si="120"/>
        <v>0</v>
      </c>
      <c r="AE29" s="396">
        <f t="shared" si="121"/>
        <v>0</v>
      </c>
      <c r="AF29" s="396">
        <f t="shared" si="122"/>
        <v>0</v>
      </c>
      <c r="AG29" s="427">
        <f t="shared" si="123"/>
        <v>0</v>
      </c>
      <c r="AH29" s="433"/>
      <c r="AI29" s="431"/>
      <c r="AJ29" s="435"/>
      <c r="AK29" s="396">
        <f>IF($E29="Yes",AJ29*Assumptions!$D$8,AJ29*Assumptions!$D$6)</f>
        <v>0</v>
      </c>
      <c r="AL29" s="396">
        <f>IF($E29="Yes",AJ29*0,AJ29*(Assumptions!$D$9))</f>
        <v>0</v>
      </c>
      <c r="AM29" s="427">
        <f t="shared" si="98"/>
        <v>0</v>
      </c>
      <c r="AN29" s="429">
        <f t="shared" si="99"/>
        <v>0</v>
      </c>
      <c r="AO29" s="396">
        <f t="shared" si="100"/>
        <v>0</v>
      </c>
      <c r="AP29" s="396">
        <f t="shared" si="101"/>
        <v>0</v>
      </c>
      <c r="AQ29" s="396">
        <f t="shared" si="102"/>
        <v>0</v>
      </c>
      <c r="AR29" s="396">
        <f t="shared" si="103"/>
        <v>0</v>
      </c>
      <c r="AS29" s="396">
        <f t="shared" si="104"/>
        <v>0</v>
      </c>
      <c r="AT29" s="396">
        <f t="shared" si="105"/>
        <v>0</v>
      </c>
      <c r="AU29" s="427">
        <f t="shared" si="106"/>
        <v>0</v>
      </c>
      <c r="AV29" s="427">
        <f t="shared" si="107"/>
        <v>0</v>
      </c>
    </row>
    <row r="30" spans="2:55" x14ac:dyDescent="0.25">
      <c r="B30" s="430"/>
      <c r="C30" s="431"/>
      <c r="D30" s="431"/>
      <c r="E30" s="432"/>
      <c r="F30" s="433"/>
      <c r="G30" s="431"/>
      <c r="H30" s="435"/>
      <c r="I30" s="396">
        <f>IF($E30="Yes",H30*Assumptions!$D$8,H30*Assumptions!$D$6)</f>
        <v>0</v>
      </c>
      <c r="J30" s="396">
        <f>IF($E30="Yes",H30*0,H30*(Assumptions!$D$9))</f>
        <v>0</v>
      </c>
      <c r="K30" s="427">
        <f t="shared" si="96"/>
        <v>0</v>
      </c>
      <c r="L30" s="396">
        <f t="shared" si="108"/>
        <v>0</v>
      </c>
      <c r="M30" s="396">
        <f t="shared" si="109"/>
        <v>0</v>
      </c>
      <c r="N30" s="396">
        <f t="shared" si="110"/>
        <v>0</v>
      </c>
      <c r="O30" s="396">
        <f t="shared" si="111"/>
        <v>0</v>
      </c>
      <c r="P30" s="396">
        <f t="shared" si="112"/>
        <v>0</v>
      </c>
      <c r="Q30" s="396">
        <f t="shared" si="113"/>
        <v>0</v>
      </c>
      <c r="R30" s="396">
        <f t="shared" si="114"/>
        <v>0</v>
      </c>
      <c r="S30" s="427">
        <f t="shared" si="115"/>
        <v>0</v>
      </c>
      <c r="T30" s="433"/>
      <c r="U30" s="431"/>
      <c r="V30" s="435"/>
      <c r="W30" s="396">
        <f>IF($E30="Yes",V30*Assumptions!$D$8,V30*Assumptions!$D$6)</f>
        <v>0</v>
      </c>
      <c r="X30" s="396">
        <f>IF($E30="Yes",V30*0,V30*(Assumptions!$D$9))</f>
        <v>0</v>
      </c>
      <c r="Y30" s="427">
        <f t="shared" si="97"/>
        <v>0</v>
      </c>
      <c r="Z30" s="396">
        <f t="shared" si="116"/>
        <v>0</v>
      </c>
      <c r="AA30" s="396">
        <f t="shared" si="117"/>
        <v>0</v>
      </c>
      <c r="AB30" s="396">
        <f t="shared" si="118"/>
        <v>0</v>
      </c>
      <c r="AC30" s="396">
        <f t="shared" si="119"/>
        <v>0</v>
      </c>
      <c r="AD30" s="396">
        <f t="shared" si="120"/>
        <v>0</v>
      </c>
      <c r="AE30" s="396">
        <f t="shared" si="121"/>
        <v>0</v>
      </c>
      <c r="AF30" s="396">
        <f t="shared" si="122"/>
        <v>0</v>
      </c>
      <c r="AG30" s="427">
        <f t="shared" si="123"/>
        <v>0</v>
      </c>
      <c r="AH30" s="433"/>
      <c r="AI30" s="431"/>
      <c r="AJ30" s="435"/>
      <c r="AK30" s="396">
        <f>IF($E30="Yes",AJ30*Assumptions!$D$8,AJ30*Assumptions!$D$6)</f>
        <v>0</v>
      </c>
      <c r="AL30" s="396">
        <f>IF($E30="Yes",AJ30*0,AJ30*(Assumptions!$D$9))</f>
        <v>0</v>
      </c>
      <c r="AM30" s="427">
        <f t="shared" si="98"/>
        <v>0</v>
      </c>
      <c r="AN30" s="429">
        <f t="shared" si="99"/>
        <v>0</v>
      </c>
      <c r="AO30" s="396">
        <f t="shared" si="100"/>
        <v>0</v>
      </c>
      <c r="AP30" s="396">
        <f t="shared" si="101"/>
        <v>0</v>
      </c>
      <c r="AQ30" s="396">
        <f t="shared" si="102"/>
        <v>0</v>
      </c>
      <c r="AR30" s="396">
        <f t="shared" si="103"/>
        <v>0</v>
      </c>
      <c r="AS30" s="396">
        <f t="shared" si="104"/>
        <v>0</v>
      </c>
      <c r="AT30" s="396">
        <f t="shared" si="105"/>
        <v>0</v>
      </c>
      <c r="AU30" s="427">
        <f t="shared" si="106"/>
        <v>0</v>
      </c>
      <c r="AV30" s="427">
        <f t="shared" si="107"/>
        <v>0</v>
      </c>
    </row>
    <row r="31" spans="2:55" ht="15.75" customHeight="1" x14ac:dyDescent="0.25">
      <c r="B31" s="430"/>
      <c r="C31" s="431"/>
      <c r="D31" s="431"/>
      <c r="E31" s="432"/>
      <c r="F31" s="433"/>
      <c r="G31" s="431"/>
      <c r="H31" s="435"/>
      <c r="I31" s="396">
        <f>IF($E31="Yes",H31*Assumptions!$D$8,H31*Assumptions!$D$6)</f>
        <v>0</v>
      </c>
      <c r="J31" s="396">
        <f>IF($E31="Yes",H31*0,H31*(Assumptions!$D$9))</f>
        <v>0</v>
      </c>
      <c r="K31" s="427">
        <f t="shared" si="96"/>
        <v>0</v>
      </c>
      <c r="L31" s="396">
        <f t="shared" si="108"/>
        <v>0</v>
      </c>
      <c r="M31" s="396">
        <f t="shared" si="109"/>
        <v>0</v>
      </c>
      <c r="N31" s="396">
        <f t="shared" si="110"/>
        <v>0</v>
      </c>
      <c r="O31" s="396">
        <f t="shared" si="111"/>
        <v>0</v>
      </c>
      <c r="P31" s="396">
        <f t="shared" si="112"/>
        <v>0</v>
      </c>
      <c r="Q31" s="396">
        <f t="shared" si="113"/>
        <v>0</v>
      </c>
      <c r="R31" s="396">
        <f t="shared" si="114"/>
        <v>0</v>
      </c>
      <c r="S31" s="427">
        <f t="shared" si="115"/>
        <v>0</v>
      </c>
      <c r="T31" s="433"/>
      <c r="U31" s="434"/>
      <c r="V31" s="435"/>
      <c r="W31" s="396">
        <f>IF($E31="Yes",V31*Assumptions!$D$8,V31*Assumptions!$D$6)</f>
        <v>0</v>
      </c>
      <c r="X31" s="396">
        <f>IF($E31="Yes",V31*0,V31*(Assumptions!$D$9))</f>
        <v>0</v>
      </c>
      <c r="Y31" s="427">
        <f t="shared" si="97"/>
        <v>0</v>
      </c>
      <c r="Z31" s="396">
        <f t="shared" si="116"/>
        <v>0</v>
      </c>
      <c r="AA31" s="396">
        <f t="shared" si="117"/>
        <v>0</v>
      </c>
      <c r="AB31" s="396">
        <f t="shared" si="118"/>
        <v>0</v>
      </c>
      <c r="AC31" s="396">
        <f t="shared" si="119"/>
        <v>0</v>
      </c>
      <c r="AD31" s="396">
        <f t="shared" si="120"/>
        <v>0</v>
      </c>
      <c r="AE31" s="396">
        <f t="shared" si="121"/>
        <v>0</v>
      </c>
      <c r="AF31" s="396">
        <f t="shared" si="122"/>
        <v>0</v>
      </c>
      <c r="AG31" s="427">
        <f t="shared" si="123"/>
        <v>0</v>
      </c>
      <c r="AH31" s="436"/>
      <c r="AI31" s="434"/>
      <c r="AJ31" s="435"/>
      <c r="AK31" s="396">
        <f>IF($E31="Yes",AJ31*Assumptions!$D$8,AJ31*Assumptions!$D$6)</f>
        <v>0</v>
      </c>
      <c r="AL31" s="396">
        <f>IF($E31="Yes",AJ31*0,AJ31*(Assumptions!$D$9))</f>
        <v>0</v>
      </c>
      <c r="AM31" s="427">
        <f t="shared" si="98"/>
        <v>0</v>
      </c>
      <c r="AN31" s="429">
        <f t="shared" si="99"/>
        <v>0</v>
      </c>
      <c r="AO31" s="396">
        <f t="shared" si="100"/>
        <v>0</v>
      </c>
      <c r="AP31" s="396">
        <f t="shared" si="101"/>
        <v>0</v>
      </c>
      <c r="AQ31" s="396">
        <f t="shared" si="102"/>
        <v>0</v>
      </c>
      <c r="AR31" s="396">
        <f t="shared" si="103"/>
        <v>0</v>
      </c>
      <c r="AS31" s="396">
        <f t="shared" si="104"/>
        <v>0</v>
      </c>
      <c r="AT31" s="396">
        <f t="shared" si="105"/>
        <v>0</v>
      </c>
      <c r="AU31" s="427">
        <f t="shared" si="106"/>
        <v>0</v>
      </c>
      <c r="AV31" s="427">
        <f t="shared" si="107"/>
        <v>0</v>
      </c>
    </row>
    <row r="32" spans="2:55" ht="16.5" thickBot="1" x14ac:dyDescent="0.3">
      <c r="B32" s="430"/>
      <c r="C32" s="431"/>
      <c r="D32" s="431"/>
      <c r="E32" s="432"/>
      <c r="F32" s="433"/>
      <c r="G32" s="431"/>
      <c r="H32" s="435"/>
      <c r="I32" s="396">
        <f>IF($E32="Yes",H32*Assumptions!$D$8,H32*Assumptions!$D$6)</f>
        <v>0</v>
      </c>
      <c r="J32" s="396">
        <f>IF($E32="Yes",H32*0,H32*(Assumptions!$D$9))</f>
        <v>0</v>
      </c>
      <c r="K32" s="427">
        <f t="shared" si="96"/>
        <v>0</v>
      </c>
      <c r="L32" s="396">
        <f t="shared" si="108"/>
        <v>0</v>
      </c>
      <c r="M32" s="396">
        <f t="shared" si="109"/>
        <v>0</v>
      </c>
      <c r="N32" s="396">
        <f t="shared" si="110"/>
        <v>0</v>
      </c>
      <c r="O32" s="396">
        <f t="shared" si="111"/>
        <v>0</v>
      </c>
      <c r="P32" s="396">
        <f t="shared" si="112"/>
        <v>0</v>
      </c>
      <c r="Q32" s="396">
        <f t="shared" si="113"/>
        <v>0</v>
      </c>
      <c r="R32" s="396">
        <f t="shared" si="114"/>
        <v>0</v>
      </c>
      <c r="S32" s="427">
        <f t="shared" si="115"/>
        <v>0</v>
      </c>
      <c r="T32" s="433"/>
      <c r="U32" s="434"/>
      <c r="V32" s="435"/>
      <c r="W32" s="396">
        <f>IF($E32="Yes",V32*Assumptions!$D$8,V32*Assumptions!$D$6)</f>
        <v>0</v>
      </c>
      <c r="X32" s="396">
        <f>IF($E32="Yes",V32*0,V32*(Assumptions!$D$9))</f>
        <v>0</v>
      </c>
      <c r="Y32" s="427">
        <f t="shared" si="97"/>
        <v>0</v>
      </c>
      <c r="Z32" s="396">
        <f t="shared" si="116"/>
        <v>0</v>
      </c>
      <c r="AA32" s="396">
        <f t="shared" si="117"/>
        <v>0</v>
      </c>
      <c r="AB32" s="396">
        <f t="shared" si="118"/>
        <v>0</v>
      </c>
      <c r="AC32" s="396">
        <f t="shared" si="119"/>
        <v>0</v>
      </c>
      <c r="AD32" s="396">
        <f t="shared" si="120"/>
        <v>0</v>
      </c>
      <c r="AE32" s="396">
        <f t="shared" si="121"/>
        <v>0</v>
      </c>
      <c r="AF32" s="396">
        <f t="shared" si="122"/>
        <v>0</v>
      </c>
      <c r="AG32" s="427">
        <f t="shared" si="123"/>
        <v>0</v>
      </c>
      <c r="AH32" s="436"/>
      <c r="AI32" s="434"/>
      <c r="AJ32" s="435"/>
      <c r="AK32" s="396">
        <f>IF($E32="Yes",AJ32*Assumptions!$D$8,AJ32*Assumptions!$D$6)</f>
        <v>0</v>
      </c>
      <c r="AL32" s="396">
        <f>IF($E32="Yes",AJ32*0,AJ32*(Assumptions!$D$9))</f>
        <v>0</v>
      </c>
      <c r="AM32" s="427">
        <f t="shared" si="98"/>
        <v>0</v>
      </c>
      <c r="AN32" s="429">
        <f t="shared" si="99"/>
        <v>0</v>
      </c>
      <c r="AO32" s="396">
        <f t="shared" si="100"/>
        <v>0</v>
      </c>
      <c r="AP32" s="396">
        <f t="shared" si="101"/>
        <v>0</v>
      </c>
      <c r="AQ32" s="396">
        <f t="shared" si="102"/>
        <v>0</v>
      </c>
      <c r="AR32" s="396">
        <f t="shared" si="103"/>
        <v>0</v>
      </c>
      <c r="AS32" s="396">
        <f t="shared" si="104"/>
        <v>0</v>
      </c>
      <c r="AT32" s="396">
        <f t="shared" si="105"/>
        <v>0</v>
      </c>
      <c r="AU32" s="427">
        <f t="shared" si="106"/>
        <v>0</v>
      </c>
      <c r="AV32" s="427">
        <f t="shared" si="107"/>
        <v>0</v>
      </c>
    </row>
    <row r="33" spans="2:55" s="226" customFormat="1" ht="16.5" customHeight="1" thickBot="1" x14ac:dyDescent="0.3">
      <c r="B33" s="438" t="s">
        <v>167</v>
      </c>
      <c r="C33" s="439"/>
      <c r="D33" s="439"/>
      <c r="E33" s="440"/>
      <c r="F33" s="441">
        <f t="shared" ref="F33:T33" si="124">SUM(F27:F32)</f>
        <v>0</v>
      </c>
      <c r="G33" s="442">
        <f t="shared" si="124"/>
        <v>0</v>
      </c>
      <c r="H33" s="443">
        <f t="shared" si="124"/>
        <v>0</v>
      </c>
      <c r="I33" s="443">
        <f t="shared" si="124"/>
        <v>0</v>
      </c>
      <c r="J33" s="443">
        <f t="shared" si="124"/>
        <v>0</v>
      </c>
      <c r="K33" s="444">
        <f t="shared" si="124"/>
        <v>0</v>
      </c>
      <c r="L33" s="443">
        <f t="shared" si="124"/>
        <v>0</v>
      </c>
      <c r="M33" s="443">
        <f t="shared" si="124"/>
        <v>0</v>
      </c>
      <c r="N33" s="443">
        <f t="shared" si="124"/>
        <v>0</v>
      </c>
      <c r="O33" s="443">
        <f t="shared" si="124"/>
        <v>0</v>
      </c>
      <c r="P33" s="443">
        <f t="shared" si="124"/>
        <v>0</v>
      </c>
      <c r="Q33" s="443">
        <f t="shared" si="124"/>
        <v>0</v>
      </c>
      <c r="R33" s="443">
        <f t="shared" si="124"/>
        <v>0</v>
      </c>
      <c r="S33" s="444">
        <f t="shared" si="124"/>
        <v>0</v>
      </c>
      <c r="T33" s="445">
        <f t="shared" si="124"/>
        <v>0</v>
      </c>
      <c r="U33" s="442"/>
      <c r="V33" s="443">
        <f t="shared" ref="V33:AH33" si="125">SUM(V27:V32)</f>
        <v>0</v>
      </c>
      <c r="W33" s="443">
        <f t="shared" si="125"/>
        <v>0</v>
      </c>
      <c r="X33" s="443">
        <f t="shared" si="125"/>
        <v>0</v>
      </c>
      <c r="Y33" s="444">
        <f t="shared" si="125"/>
        <v>0</v>
      </c>
      <c r="Z33" s="443">
        <f t="shared" si="125"/>
        <v>0</v>
      </c>
      <c r="AA33" s="443">
        <f t="shared" si="125"/>
        <v>0</v>
      </c>
      <c r="AB33" s="443">
        <f t="shared" si="125"/>
        <v>0</v>
      </c>
      <c r="AC33" s="443">
        <f t="shared" si="125"/>
        <v>0</v>
      </c>
      <c r="AD33" s="443">
        <f t="shared" si="125"/>
        <v>0</v>
      </c>
      <c r="AE33" s="443">
        <f t="shared" si="125"/>
        <v>0</v>
      </c>
      <c r="AF33" s="443">
        <f t="shared" si="125"/>
        <v>0</v>
      </c>
      <c r="AG33" s="444">
        <f t="shared" si="125"/>
        <v>0</v>
      </c>
      <c r="AH33" s="442">
        <f t="shared" si="125"/>
        <v>0</v>
      </c>
      <c r="AI33" s="442"/>
      <c r="AJ33" s="443">
        <f t="shared" ref="AJ33:AV33" si="126">SUM(AJ27:AJ32)</f>
        <v>0</v>
      </c>
      <c r="AK33" s="443">
        <f t="shared" si="126"/>
        <v>0</v>
      </c>
      <c r="AL33" s="443">
        <f t="shared" si="126"/>
        <v>0</v>
      </c>
      <c r="AM33" s="444">
        <f t="shared" si="126"/>
        <v>0</v>
      </c>
      <c r="AN33" s="446">
        <f t="shared" si="126"/>
        <v>0</v>
      </c>
      <c r="AO33" s="443">
        <f t="shared" si="126"/>
        <v>0</v>
      </c>
      <c r="AP33" s="443">
        <f t="shared" si="126"/>
        <v>0</v>
      </c>
      <c r="AQ33" s="443">
        <f t="shared" si="126"/>
        <v>0</v>
      </c>
      <c r="AR33" s="443">
        <f t="shared" si="126"/>
        <v>0</v>
      </c>
      <c r="AS33" s="443">
        <f t="shared" si="126"/>
        <v>0</v>
      </c>
      <c r="AT33" s="443">
        <f t="shared" si="126"/>
        <v>0</v>
      </c>
      <c r="AU33" s="444">
        <f t="shared" si="126"/>
        <v>0</v>
      </c>
      <c r="AV33" s="444">
        <f t="shared" si="126"/>
        <v>0</v>
      </c>
      <c r="BA33" s="227"/>
      <c r="BB33" s="227"/>
      <c r="BC33" s="231"/>
    </row>
    <row r="34" spans="2:55" s="226" customFormat="1" x14ac:dyDescent="0.25">
      <c r="B34" s="423" t="s">
        <v>157</v>
      </c>
      <c r="C34" s="77"/>
      <c r="D34" s="77"/>
      <c r="E34" s="424"/>
      <c r="F34" s="425"/>
      <c r="G34" s="426"/>
      <c r="H34" s="396"/>
      <c r="I34" s="396"/>
      <c r="J34" s="396"/>
      <c r="K34" s="427"/>
      <c r="L34" s="396"/>
      <c r="M34" s="396"/>
      <c r="N34" s="396"/>
      <c r="O34" s="396"/>
      <c r="P34" s="396"/>
      <c r="Q34" s="396"/>
      <c r="R34" s="396"/>
      <c r="S34" s="427"/>
      <c r="T34" s="428"/>
      <c r="U34" s="426"/>
      <c r="V34" s="396"/>
      <c r="W34" s="396"/>
      <c r="X34" s="396"/>
      <c r="Y34" s="427"/>
      <c r="Z34" s="396"/>
      <c r="AA34" s="396"/>
      <c r="AB34" s="396"/>
      <c r="AC34" s="396"/>
      <c r="AD34" s="396"/>
      <c r="AE34" s="396"/>
      <c r="AF34" s="396"/>
      <c r="AG34" s="427"/>
      <c r="AH34" s="426"/>
      <c r="AI34" s="426"/>
      <c r="AJ34" s="396"/>
      <c r="AK34" s="396"/>
      <c r="AL34" s="396"/>
      <c r="AM34" s="427"/>
      <c r="AN34" s="429"/>
      <c r="AO34" s="396"/>
      <c r="AP34" s="396"/>
      <c r="AQ34" s="396"/>
      <c r="AR34" s="396"/>
      <c r="AS34" s="396"/>
      <c r="AT34" s="396"/>
      <c r="AU34" s="427"/>
      <c r="AV34" s="427"/>
    </row>
    <row r="35" spans="2:55" ht="15.75" customHeight="1" x14ac:dyDescent="0.25">
      <c r="B35" s="430"/>
      <c r="C35" s="431"/>
      <c r="D35" s="431"/>
      <c r="E35" s="432"/>
      <c r="F35" s="433"/>
      <c r="G35" s="431"/>
      <c r="H35" s="435"/>
      <c r="I35" s="396">
        <f>IF($E35="Yes",H35*Assumptions!$D$12,H35*Assumptions!$D$11)</f>
        <v>0</v>
      </c>
      <c r="J35" s="396">
        <v>0</v>
      </c>
      <c r="K35" s="427">
        <f t="shared" ref="K35:K44" si="127">I35+H35+J35</f>
        <v>0</v>
      </c>
      <c r="L35" s="396">
        <f t="shared" ref="L35:L44" si="128">H35*F35</f>
        <v>0</v>
      </c>
      <c r="M35" s="396">
        <f t="shared" ref="M35:M44" si="129">I35*F35</f>
        <v>0</v>
      </c>
      <c r="N35" s="396">
        <f t="shared" ref="N35:N44" si="130">J35*F35</f>
        <v>0</v>
      </c>
      <c r="O35" s="396">
        <f t="shared" ref="O35:O46" si="131">SUM(L35:N35)</f>
        <v>0</v>
      </c>
      <c r="P35" s="396">
        <f>H35*G35</f>
        <v>0</v>
      </c>
      <c r="Q35" s="396">
        <f t="shared" ref="Q35:Q44" si="132">I35*G35</f>
        <v>0</v>
      </c>
      <c r="R35" s="396">
        <f t="shared" ref="R35:R44" si="133">J35*G35</f>
        <v>0</v>
      </c>
      <c r="S35" s="427">
        <f t="shared" ref="S35:S44" si="134">SUM(P35:R35)</f>
        <v>0</v>
      </c>
      <c r="T35" s="433"/>
      <c r="U35" s="431"/>
      <c r="V35" s="435"/>
      <c r="W35" s="396">
        <f>IF($E35="Yes",V35*Assumptions!$D$12,V35*Assumptions!$D$11)</f>
        <v>0</v>
      </c>
      <c r="X35" s="396">
        <v>0</v>
      </c>
      <c r="Y35" s="427">
        <f t="shared" ref="Y35:Y44" si="135">W35+V35+X35</f>
        <v>0</v>
      </c>
      <c r="Z35" s="396">
        <f t="shared" ref="Z35:Z44" si="136">V35*T35</f>
        <v>0</v>
      </c>
      <c r="AA35" s="396">
        <f t="shared" ref="AA35:AA44" si="137">W35*T35</f>
        <v>0</v>
      </c>
      <c r="AB35" s="396">
        <f t="shared" ref="AB35:AB44" si="138">X35*T35</f>
        <v>0</v>
      </c>
      <c r="AC35" s="396">
        <f t="shared" ref="AC35:AC44" si="139">SUM(Z35:AB35)</f>
        <v>0</v>
      </c>
      <c r="AD35" s="396">
        <f>V35*U35</f>
        <v>0</v>
      </c>
      <c r="AE35" s="396">
        <f t="shared" ref="AE35:AE44" si="140">W35*U35</f>
        <v>0</v>
      </c>
      <c r="AF35" s="396">
        <f t="shared" ref="AF35:AF44" si="141">X35*U35</f>
        <v>0</v>
      </c>
      <c r="AG35" s="427">
        <f t="shared" ref="AG35:AG44" si="142">SUM(AD35:AF35)</f>
        <v>0</v>
      </c>
      <c r="AH35" s="433"/>
      <c r="AI35" s="431"/>
      <c r="AJ35" s="435"/>
      <c r="AK35" s="396">
        <f>IF($E35="Yes",AJ35*Assumptions!$D$12,AJ35*Assumptions!$D$11)</f>
        <v>0</v>
      </c>
      <c r="AL35" s="396">
        <v>0</v>
      </c>
      <c r="AM35" s="427">
        <f t="shared" ref="AM35:AM44" si="143">AK35+AJ35+AL35</f>
        <v>0</v>
      </c>
      <c r="AN35" s="429">
        <f t="shared" ref="AN35:AN44" si="144">AJ35*AH35</f>
        <v>0</v>
      </c>
      <c r="AO35" s="396">
        <f t="shared" ref="AO35:AO44" si="145">AK35*AH35</f>
        <v>0</v>
      </c>
      <c r="AP35" s="396">
        <f t="shared" ref="AP35:AP44" si="146">AL35*AH35</f>
        <v>0</v>
      </c>
      <c r="AQ35" s="396">
        <f t="shared" ref="AQ35:AQ44" si="147">SUM(AN35:AP35)</f>
        <v>0</v>
      </c>
      <c r="AR35" s="396">
        <f t="shared" ref="AR35:AR44" si="148">AJ35*AI35</f>
        <v>0</v>
      </c>
      <c r="AS35" s="396">
        <f t="shared" ref="AS35:AS44" si="149">AK35*AI35</f>
        <v>0</v>
      </c>
      <c r="AT35" s="396">
        <f t="shared" ref="AT35:AT44" si="150">AL35*AI35</f>
        <v>0</v>
      </c>
      <c r="AU35" s="427">
        <f t="shared" ref="AU35:AU44" si="151">SUM(AR35:AT35)</f>
        <v>0</v>
      </c>
      <c r="AV35" s="427">
        <f t="shared" ref="AV35:AV44" si="152">AM35+Y35+K35</f>
        <v>0</v>
      </c>
    </row>
    <row r="36" spans="2:55" x14ac:dyDescent="0.25">
      <c r="B36" s="430"/>
      <c r="C36" s="431"/>
      <c r="D36" s="431"/>
      <c r="E36" s="432"/>
      <c r="F36" s="433"/>
      <c r="G36" s="431"/>
      <c r="H36" s="435"/>
      <c r="I36" s="396">
        <f>IF($E36="Yes",H36*Assumptions!$D$12,H36*Assumptions!$D$11)</f>
        <v>0</v>
      </c>
      <c r="J36" s="396">
        <v>0</v>
      </c>
      <c r="K36" s="427">
        <f t="shared" si="127"/>
        <v>0</v>
      </c>
      <c r="L36" s="396">
        <f t="shared" si="128"/>
        <v>0</v>
      </c>
      <c r="M36" s="396">
        <f t="shared" si="129"/>
        <v>0</v>
      </c>
      <c r="N36" s="396">
        <f t="shared" si="130"/>
        <v>0</v>
      </c>
      <c r="O36" s="396">
        <f t="shared" si="131"/>
        <v>0</v>
      </c>
      <c r="P36" s="396">
        <f t="shared" ref="P36:P44" si="153">H36*G36</f>
        <v>0</v>
      </c>
      <c r="Q36" s="396">
        <f t="shared" si="132"/>
        <v>0</v>
      </c>
      <c r="R36" s="396">
        <f t="shared" si="133"/>
        <v>0</v>
      </c>
      <c r="S36" s="427">
        <f t="shared" si="134"/>
        <v>0</v>
      </c>
      <c r="T36" s="433"/>
      <c r="U36" s="431"/>
      <c r="V36" s="435"/>
      <c r="W36" s="396">
        <f>IF($E36="Yes",V36*Assumptions!$D$12,V36*Assumptions!$D$11)</f>
        <v>0</v>
      </c>
      <c r="X36" s="396">
        <v>0</v>
      </c>
      <c r="Y36" s="427">
        <f t="shared" si="135"/>
        <v>0</v>
      </c>
      <c r="Z36" s="396">
        <f t="shared" si="136"/>
        <v>0</v>
      </c>
      <c r="AA36" s="396">
        <f t="shared" si="137"/>
        <v>0</v>
      </c>
      <c r="AB36" s="396">
        <f t="shared" si="138"/>
        <v>0</v>
      </c>
      <c r="AC36" s="396">
        <f t="shared" si="139"/>
        <v>0</v>
      </c>
      <c r="AD36" s="396">
        <f t="shared" ref="AD36:AD44" si="154">V36*U36</f>
        <v>0</v>
      </c>
      <c r="AE36" s="396">
        <f t="shared" si="140"/>
        <v>0</v>
      </c>
      <c r="AF36" s="396">
        <f t="shared" si="141"/>
        <v>0</v>
      </c>
      <c r="AG36" s="427">
        <f t="shared" si="142"/>
        <v>0</v>
      </c>
      <c r="AH36" s="433"/>
      <c r="AI36" s="431"/>
      <c r="AJ36" s="435"/>
      <c r="AK36" s="396">
        <f>IF($E36="Yes",AJ36*Assumptions!$D$12,AJ36*Assumptions!$D$11)</f>
        <v>0</v>
      </c>
      <c r="AL36" s="396">
        <v>0</v>
      </c>
      <c r="AM36" s="427">
        <f t="shared" si="143"/>
        <v>0</v>
      </c>
      <c r="AN36" s="429">
        <f t="shared" si="144"/>
        <v>0</v>
      </c>
      <c r="AO36" s="396">
        <f t="shared" si="145"/>
        <v>0</v>
      </c>
      <c r="AP36" s="396">
        <f t="shared" si="146"/>
        <v>0</v>
      </c>
      <c r="AQ36" s="396">
        <f t="shared" si="147"/>
        <v>0</v>
      </c>
      <c r="AR36" s="396">
        <f t="shared" si="148"/>
        <v>0</v>
      </c>
      <c r="AS36" s="396">
        <f t="shared" si="149"/>
        <v>0</v>
      </c>
      <c r="AT36" s="396">
        <f t="shared" si="150"/>
        <v>0</v>
      </c>
      <c r="AU36" s="427">
        <f t="shared" si="151"/>
        <v>0</v>
      </c>
      <c r="AV36" s="427">
        <f t="shared" si="152"/>
        <v>0</v>
      </c>
    </row>
    <row r="37" spans="2:55" ht="15.75" customHeight="1" x14ac:dyDescent="0.25">
      <c r="B37" s="430"/>
      <c r="C37" s="431"/>
      <c r="D37" s="431"/>
      <c r="E37" s="432"/>
      <c r="F37" s="433"/>
      <c r="G37" s="431"/>
      <c r="H37" s="435"/>
      <c r="I37" s="396">
        <f>IF($E37="Yes",H37*Assumptions!$D$12,H37*Assumptions!$D$11)</f>
        <v>0</v>
      </c>
      <c r="J37" s="396">
        <v>0</v>
      </c>
      <c r="K37" s="427">
        <f t="shared" si="127"/>
        <v>0</v>
      </c>
      <c r="L37" s="396">
        <f t="shared" si="128"/>
        <v>0</v>
      </c>
      <c r="M37" s="396">
        <f t="shared" si="129"/>
        <v>0</v>
      </c>
      <c r="N37" s="396">
        <f t="shared" si="130"/>
        <v>0</v>
      </c>
      <c r="O37" s="396">
        <f t="shared" si="131"/>
        <v>0</v>
      </c>
      <c r="P37" s="396">
        <f t="shared" si="153"/>
        <v>0</v>
      </c>
      <c r="Q37" s="396">
        <f t="shared" si="132"/>
        <v>0</v>
      </c>
      <c r="R37" s="396">
        <f t="shared" si="133"/>
        <v>0</v>
      </c>
      <c r="S37" s="427">
        <f t="shared" si="134"/>
        <v>0</v>
      </c>
      <c r="T37" s="433"/>
      <c r="U37" s="431"/>
      <c r="V37" s="435"/>
      <c r="W37" s="396">
        <f>IF($E37="Yes",V37*Assumptions!$D$12,V37*Assumptions!$D$11)</f>
        <v>0</v>
      </c>
      <c r="X37" s="396">
        <v>0</v>
      </c>
      <c r="Y37" s="427">
        <f t="shared" si="135"/>
        <v>0</v>
      </c>
      <c r="Z37" s="396">
        <f t="shared" si="136"/>
        <v>0</v>
      </c>
      <c r="AA37" s="396">
        <f t="shared" si="137"/>
        <v>0</v>
      </c>
      <c r="AB37" s="396">
        <f t="shared" si="138"/>
        <v>0</v>
      </c>
      <c r="AC37" s="396">
        <f t="shared" si="139"/>
        <v>0</v>
      </c>
      <c r="AD37" s="396">
        <f t="shared" si="154"/>
        <v>0</v>
      </c>
      <c r="AE37" s="396">
        <f t="shared" si="140"/>
        <v>0</v>
      </c>
      <c r="AF37" s="396">
        <f t="shared" si="141"/>
        <v>0</v>
      </c>
      <c r="AG37" s="427">
        <f t="shared" si="142"/>
        <v>0</v>
      </c>
      <c r="AH37" s="433"/>
      <c r="AI37" s="431"/>
      <c r="AJ37" s="435"/>
      <c r="AK37" s="396">
        <f>IF($E37="Yes",AJ37*Assumptions!$D$12,AJ37*Assumptions!$D$11)</f>
        <v>0</v>
      </c>
      <c r="AL37" s="396">
        <v>0</v>
      </c>
      <c r="AM37" s="427">
        <f t="shared" si="143"/>
        <v>0</v>
      </c>
      <c r="AN37" s="429">
        <f t="shared" si="144"/>
        <v>0</v>
      </c>
      <c r="AO37" s="396">
        <f t="shared" si="145"/>
        <v>0</v>
      </c>
      <c r="AP37" s="396">
        <f t="shared" si="146"/>
        <v>0</v>
      </c>
      <c r="AQ37" s="396">
        <f t="shared" si="147"/>
        <v>0</v>
      </c>
      <c r="AR37" s="396">
        <f t="shared" si="148"/>
        <v>0</v>
      </c>
      <c r="AS37" s="396">
        <f t="shared" si="149"/>
        <v>0</v>
      </c>
      <c r="AT37" s="396">
        <f t="shared" si="150"/>
        <v>0</v>
      </c>
      <c r="AU37" s="427">
        <f t="shared" si="151"/>
        <v>0</v>
      </c>
      <c r="AV37" s="427">
        <f t="shared" si="152"/>
        <v>0</v>
      </c>
    </row>
    <row r="38" spans="2:55" x14ac:dyDescent="0.25">
      <c r="B38" s="430"/>
      <c r="C38" s="431"/>
      <c r="D38" s="431"/>
      <c r="E38" s="432"/>
      <c r="F38" s="433"/>
      <c r="G38" s="431"/>
      <c r="H38" s="435"/>
      <c r="I38" s="396">
        <f>IF($E38="Yes",H38*Assumptions!$D$12,H38*Assumptions!$D$11)</f>
        <v>0</v>
      </c>
      <c r="J38" s="396">
        <v>0</v>
      </c>
      <c r="K38" s="427">
        <f t="shared" si="127"/>
        <v>0</v>
      </c>
      <c r="L38" s="396">
        <f t="shared" si="128"/>
        <v>0</v>
      </c>
      <c r="M38" s="396">
        <f t="shared" si="129"/>
        <v>0</v>
      </c>
      <c r="N38" s="396">
        <f t="shared" si="130"/>
        <v>0</v>
      </c>
      <c r="O38" s="396">
        <f t="shared" si="131"/>
        <v>0</v>
      </c>
      <c r="P38" s="396">
        <f t="shared" si="153"/>
        <v>0</v>
      </c>
      <c r="Q38" s="396">
        <f t="shared" si="132"/>
        <v>0</v>
      </c>
      <c r="R38" s="396">
        <f t="shared" si="133"/>
        <v>0</v>
      </c>
      <c r="S38" s="427">
        <f t="shared" si="134"/>
        <v>0</v>
      </c>
      <c r="T38" s="433"/>
      <c r="U38" s="431"/>
      <c r="V38" s="435"/>
      <c r="W38" s="396">
        <f>IF($E38="Yes",V38*Assumptions!$D$12,V38*Assumptions!$D$11)</f>
        <v>0</v>
      </c>
      <c r="X38" s="396">
        <v>0</v>
      </c>
      <c r="Y38" s="427">
        <f t="shared" si="135"/>
        <v>0</v>
      </c>
      <c r="Z38" s="396">
        <f t="shared" si="136"/>
        <v>0</v>
      </c>
      <c r="AA38" s="396">
        <f t="shared" si="137"/>
        <v>0</v>
      </c>
      <c r="AB38" s="396">
        <f t="shared" si="138"/>
        <v>0</v>
      </c>
      <c r="AC38" s="396">
        <f t="shared" si="139"/>
        <v>0</v>
      </c>
      <c r="AD38" s="396">
        <f t="shared" si="154"/>
        <v>0</v>
      </c>
      <c r="AE38" s="396">
        <f t="shared" si="140"/>
        <v>0</v>
      </c>
      <c r="AF38" s="396">
        <f t="shared" si="141"/>
        <v>0</v>
      </c>
      <c r="AG38" s="427">
        <f t="shared" si="142"/>
        <v>0</v>
      </c>
      <c r="AH38" s="433"/>
      <c r="AI38" s="431"/>
      <c r="AJ38" s="435"/>
      <c r="AK38" s="396">
        <f>IF($E38="Yes",AJ38*Assumptions!$D$12,AJ38*Assumptions!$D$11)</f>
        <v>0</v>
      </c>
      <c r="AL38" s="396">
        <v>0</v>
      </c>
      <c r="AM38" s="427">
        <f t="shared" si="143"/>
        <v>0</v>
      </c>
      <c r="AN38" s="429">
        <f t="shared" si="144"/>
        <v>0</v>
      </c>
      <c r="AO38" s="396">
        <f t="shared" si="145"/>
        <v>0</v>
      </c>
      <c r="AP38" s="396">
        <f t="shared" si="146"/>
        <v>0</v>
      </c>
      <c r="AQ38" s="396">
        <f t="shared" si="147"/>
        <v>0</v>
      </c>
      <c r="AR38" s="396">
        <f t="shared" si="148"/>
        <v>0</v>
      </c>
      <c r="AS38" s="396">
        <f t="shared" si="149"/>
        <v>0</v>
      </c>
      <c r="AT38" s="396">
        <f t="shared" si="150"/>
        <v>0</v>
      </c>
      <c r="AU38" s="427">
        <f t="shared" si="151"/>
        <v>0</v>
      </c>
      <c r="AV38" s="427">
        <f t="shared" si="152"/>
        <v>0</v>
      </c>
    </row>
    <row r="39" spans="2:55" ht="15.75" customHeight="1" thickBot="1" x14ac:dyDescent="0.3">
      <c r="B39" s="430"/>
      <c r="C39" s="431"/>
      <c r="D39" s="431"/>
      <c r="E39" s="432"/>
      <c r="F39" s="433"/>
      <c r="G39" s="434"/>
      <c r="H39" s="435"/>
      <c r="I39" s="396">
        <f>IF($E39="Yes",H39*Assumptions!$D$12,H39*Assumptions!$D$11)</f>
        <v>0</v>
      </c>
      <c r="J39" s="396">
        <v>0</v>
      </c>
      <c r="K39" s="427">
        <f t="shared" si="127"/>
        <v>0</v>
      </c>
      <c r="L39" s="396">
        <f t="shared" si="128"/>
        <v>0</v>
      </c>
      <c r="M39" s="396">
        <f t="shared" si="129"/>
        <v>0</v>
      </c>
      <c r="N39" s="396">
        <f t="shared" si="130"/>
        <v>0</v>
      </c>
      <c r="O39" s="396">
        <f t="shared" si="131"/>
        <v>0</v>
      </c>
      <c r="P39" s="396">
        <f t="shared" si="153"/>
        <v>0</v>
      </c>
      <c r="Q39" s="396">
        <f t="shared" si="132"/>
        <v>0</v>
      </c>
      <c r="R39" s="396">
        <f t="shared" si="133"/>
        <v>0</v>
      </c>
      <c r="S39" s="427">
        <f t="shared" si="134"/>
        <v>0</v>
      </c>
      <c r="T39" s="433"/>
      <c r="U39" s="434"/>
      <c r="V39" s="435"/>
      <c r="W39" s="396">
        <f>IF($E39="Yes",V39*Assumptions!$D$12,V39*Assumptions!$D$11)</f>
        <v>0</v>
      </c>
      <c r="X39" s="396">
        <v>0</v>
      </c>
      <c r="Y39" s="427">
        <f t="shared" si="135"/>
        <v>0</v>
      </c>
      <c r="Z39" s="396">
        <f t="shared" si="136"/>
        <v>0</v>
      </c>
      <c r="AA39" s="396">
        <f t="shared" si="137"/>
        <v>0</v>
      </c>
      <c r="AB39" s="396">
        <f t="shared" si="138"/>
        <v>0</v>
      </c>
      <c r="AC39" s="396">
        <f t="shared" si="139"/>
        <v>0</v>
      </c>
      <c r="AD39" s="396">
        <f t="shared" si="154"/>
        <v>0</v>
      </c>
      <c r="AE39" s="396">
        <f t="shared" si="140"/>
        <v>0</v>
      </c>
      <c r="AF39" s="396">
        <f t="shared" si="141"/>
        <v>0</v>
      </c>
      <c r="AG39" s="427">
        <f t="shared" si="142"/>
        <v>0</v>
      </c>
      <c r="AH39" s="436"/>
      <c r="AI39" s="434"/>
      <c r="AJ39" s="435"/>
      <c r="AK39" s="396">
        <f>IF($E39="Yes",AJ39*Assumptions!$D$12,AJ39*Assumptions!$D$11)</f>
        <v>0</v>
      </c>
      <c r="AL39" s="396">
        <v>0</v>
      </c>
      <c r="AM39" s="427">
        <f t="shared" si="143"/>
        <v>0</v>
      </c>
      <c r="AN39" s="429">
        <f t="shared" si="144"/>
        <v>0</v>
      </c>
      <c r="AO39" s="396">
        <f t="shared" si="145"/>
        <v>0</v>
      </c>
      <c r="AP39" s="396">
        <f t="shared" si="146"/>
        <v>0</v>
      </c>
      <c r="AQ39" s="396">
        <f t="shared" si="147"/>
        <v>0</v>
      </c>
      <c r="AR39" s="396">
        <f t="shared" si="148"/>
        <v>0</v>
      </c>
      <c r="AS39" s="396">
        <f t="shared" si="149"/>
        <v>0</v>
      </c>
      <c r="AT39" s="396">
        <f t="shared" si="150"/>
        <v>0</v>
      </c>
      <c r="AU39" s="427">
        <f t="shared" si="151"/>
        <v>0</v>
      </c>
      <c r="AV39" s="427">
        <f t="shared" si="152"/>
        <v>0</v>
      </c>
    </row>
    <row r="40" spans="2:55" s="226" customFormat="1" ht="16.5" customHeight="1" thickBot="1" x14ac:dyDescent="0.3">
      <c r="B40" s="438" t="s">
        <v>172</v>
      </c>
      <c r="C40" s="439"/>
      <c r="D40" s="439"/>
      <c r="E40" s="440"/>
      <c r="F40" s="441">
        <f>SUM(F35:F39)</f>
        <v>0</v>
      </c>
      <c r="G40" s="442">
        <f t="shared" ref="G40:AV40" si="155">SUM(G35:G39)</f>
        <v>0</v>
      </c>
      <c r="H40" s="443">
        <f t="shared" si="155"/>
        <v>0</v>
      </c>
      <c r="I40" s="443">
        <f t="shared" si="155"/>
        <v>0</v>
      </c>
      <c r="J40" s="443">
        <f t="shared" si="155"/>
        <v>0</v>
      </c>
      <c r="K40" s="444">
        <f t="shared" si="155"/>
        <v>0</v>
      </c>
      <c r="L40" s="443">
        <f t="shared" si="155"/>
        <v>0</v>
      </c>
      <c r="M40" s="443">
        <f t="shared" si="155"/>
        <v>0</v>
      </c>
      <c r="N40" s="443">
        <f t="shared" si="155"/>
        <v>0</v>
      </c>
      <c r="O40" s="443">
        <f t="shared" si="155"/>
        <v>0</v>
      </c>
      <c r="P40" s="443">
        <f t="shared" si="155"/>
        <v>0</v>
      </c>
      <c r="Q40" s="443">
        <f t="shared" si="155"/>
        <v>0</v>
      </c>
      <c r="R40" s="443">
        <f t="shared" si="155"/>
        <v>0</v>
      </c>
      <c r="S40" s="444">
        <f t="shared" si="155"/>
        <v>0</v>
      </c>
      <c r="T40" s="445">
        <f t="shared" si="155"/>
        <v>0</v>
      </c>
      <c r="U40" s="442">
        <f t="shared" si="155"/>
        <v>0</v>
      </c>
      <c r="V40" s="443">
        <f t="shared" si="155"/>
        <v>0</v>
      </c>
      <c r="W40" s="443">
        <f t="shared" si="155"/>
        <v>0</v>
      </c>
      <c r="X40" s="443">
        <f t="shared" si="155"/>
        <v>0</v>
      </c>
      <c r="Y40" s="444">
        <f t="shared" si="155"/>
        <v>0</v>
      </c>
      <c r="Z40" s="443">
        <f t="shared" si="155"/>
        <v>0</v>
      </c>
      <c r="AA40" s="443">
        <f t="shared" si="155"/>
        <v>0</v>
      </c>
      <c r="AB40" s="443">
        <f t="shared" si="155"/>
        <v>0</v>
      </c>
      <c r="AC40" s="443">
        <f t="shared" si="155"/>
        <v>0</v>
      </c>
      <c r="AD40" s="443">
        <f t="shared" si="155"/>
        <v>0</v>
      </c>
      <c r="AE40" s="443">
        <f t="shared" si="155"/>
        <v>0</v>
      </c>
      <c r="AF40" s="443">
        <f t="shared" si="155"/>
        <v>0</v>
      </c>
      <c r="AG40" s="444">
        <f t="shared" si="155"/>
        <v>0</v>
      </c>
      <c r="AH40" s="442">
        <f t="shared" si="155"/>
        <v>0</v>
      </c>
      <c r="AI40" s="442">
        <f t="shared" si="155"/>
        <v>0</v>
      </c>
      <c r="AJ40" s="443">
        <f t="shared" si="155"/>
        <v>0</v>
      </c>
      <c r="AK40" s="443">
        <f t="shared" si="155"/>
        <v>0</v>
      </c>
      <c r="AL40" s="443">
        <f t="shared" si="155"/>
        <v>0</v>
      </c>
      <c r="AM40" s="444">
        <f t="shared" si="155"/>
        <v>0</v>
      </c>
      <c r="AN40" s="446">
        <f t="shared" si="155"/>
        <v>0</v>
      </c>
      <c r="AO40" s="443">
        <f t="shared" si="155"/>
        <v>0</v>
      </c>
      <c r="AP40" s="443">
        <f t="shared" si="155"/>
        <v>0</v>
      </c>
      <c r="AQ40" s="443">
        <f t="shared" si="155"/>
        <v>0</v>
      </c>
      <c r="AR40" s="443">
        <f t="shared" si="155"/>
        <v>0</v>
      </c>
      <c r="AS40" s="443">
        <f t="shared" si="155"/>
        <v>0</v>
      </c>
      <c r="AT40" s="443">
        <f t="shared" si="155"/>
        <v>0</v>
      </c>
      <c r="AU40" s="444">
        <f t="shared" si="155"/>
        <v>0</v>
      </c>
      <c r="AV40" s="444">
        <f t="shared" si="155"/>
        <v>0</v>
      </c>
      <c r="BA40" s="227"/>
      <c r="BB40" s="227"/>
      <c r="BC40" s="231"/>
    </row>
    <row r="41" spans="2:55" s="226" customFormat="1" x14ac:dyDescent="0.25">
      <c r="B41" s="423" t="s">
        <v>620</v>
      </c>
      <c r="C41" s="77"/>
      <c r="D41" s="77"/>
      <c r="E41" s="424"/>
      <c r="F41" s="425"/>
      <c r="G41" s="426"/>
      <c r="H41" s="396"/>
      <c r="I41" s="396"/>
      <c r="J41" s="396"/>
      <c r="K41" s="427"/>
      <c r="L41" s="396"/>
      <c r="M41" s="396"/>
      <c r="N41" s="396"/>
      <c r="O41" s="396"/>
      <c r="P41" s="396"/>
      <c r="Q41" s="396"/>
      <c r="R41" s="396"/>
      <c r="S41" s="427"/>
      <c r="T41" s="428"/>
      <c r="U41" s="426"/>
      <c r="V41" s="396"/>
      <c r="W41" s="396"/>
      <c r="X41" s="396"/>
      <c r="Y41" s="427"/>
      <c r="Z41" s="396"/>
      <c r="AA41" s="396"/>
      <c r="AB41" s="396"/>
      <c r="AC41" s="396"/>
      <c r="AD41" s="396"/>
      <c r="AE41" s="396"/>
      <c r="AF41" s="396"/>
      <c r="AG41" s="427"/>
      <c r="AH41" s="426"/>
      <c r="AI41" s="426"/>
      <c r="AJ41" s="396"/>
      <c r="AK41" s="396"/>
      <c r="AL41" s="396"/>
      <c r="AM41" s="427"/>
      <c r="AN41" s="429"/>
      <c r="AO41" s="396"/>
      <c r="AP41" s="396"/>
      <c r="AQ41" s="396"/>
      <c r="AR41" s="396"/>
      <c r="AS41" s="396"/>
      <c r="AT41" s="396"/>
      <c r="AU41" s="427"/>
      <c r="AV41" s="427"/>
    </row>
    <row r="42" spans="2:55" x14ac:dyDescent="0.25">
      <c r="B42" s="430"/>
      <c r="C42" s="431"/>
      <c r="D42" s="431"/>
      <c r="E42" s="432"/>
      <c r="F42" s="433"/>
      <c r="G42" s="431"/>
      <c r="H42" s="435"/>
      <c r="I42" s="396">
        <f>IF($E42="Yes",H42*Assumptions!$D$12,H42*Assumptions!$D$11)</f>
        <v>0</v>
      </c>
      <c r="J42" s="396">
        <v>0</v>
      </c>
      <c r="K42" s="427">
        <f t="shared" si="127"/>
        <v>0</v>
      </c>
      <c r="L42" s="396">
        <f t="shared" si="128"/>
        <v>0</v>
      </c>
      <c r="M42" s="396">
        <f t="shared" si="129"/>
        <v>0</v>
      </c>
      <c r="N42" s="396">
        <f t="shared" si="130"/>
        <v>0</v>
      </c>
      <c r="O42" s="396">
        <f t="shared" si="131"/>
        <v>0</v>
      </c>
      <c r="P42" s="396">
        <f t="shared" si="153"/>
        <v>0</v>
      </c>
      <c r="Q42" s="396">
        <f t="shared" si="132"/>
        <v>0</v>
      </c>
      <c r="R42" s="396">
        <f t="shared" si="133"/>
        <v>0</v>
      </c>
      <c r="S42" s="427">
        <f t="shared" si="134"/>
        <v>0</v>
      </c>
      <c r="T42" s="433"/>
      <c r="U42" s="431"/>
      <c r="V42" s="435"/>
      <c r="W42" s="396">
        <f>IF($E42="Yes",V42*Assumptions!$D$12,V42*Assumptions!$D$11)</f>
        <v>0</v>
      </c>
      <c r="X42" s="396">
        <v>0</v>
      </c>
      <c r="Y42" s="427">
        <f t="shared" si="135"/>
        <v>0</v>
      </c>
      <c r="Z42" s="396">
        <f t="shared" si="136"/>
        <v>0</v>
      </c>
      <c r="AA42" s="396">
        <f t="shared" si="137"/>
        <v>0</v>
      </c>
      <c r="AB42" s="396">
        <f t="shared" si="138"/>
        <v>0</v>
      </c>
      <c r="AC42" s="396">
        <f t="shared" si="139"/>
        <v>0</v>
      </c>
      <c r="AD42" s="396">
        <f t="shared" si="154"/>
        <v>0</v>
      </c>
      <c r="AE42" s="396">
        <f t="shared" si="140"/>
        <v>0</v>
      </c>
      <c r="AF42" s="396">
        <f t="shared" si="141"/>
        <v>0</v>
      </c>
      <c r="AG42" s="427">
        <f t="shared" si="142"/>
        <v>0</v>
      </c>
      <c r="AH42" s="433"/>
      <c r="AI42" s="431"/>
      <c r="AJ42" s="435"/>
      <c r="AK42" s="396">
        <f>IF($E42="Yes",AJ42*Assumptions!$D$12,AJ42*Assumptions!$D$11)</f>
        <v>0</v>
      </c>
      <c r="AL42" s="396">
        <v>0</v>
      </c>
      <c r="AM42" s="427">
        <f t="shared" si="143"/>
        <v>0</v>
      </c>
      <c r="AN42" s="429">
        <f t="shared" si="144"/>
        <v>0</v>
      </c>
      <c r="AO42" s="396">
        <f t="shared" si="145"/>
        <v>0</v>
      </c>
      <c r="AP42" s="396">
        <f t="shared" si="146"/>
        <v>0</v>
      </c>
      <c r="AQ42" s="396">
        <f t="shared" si="147"/>
        <v>0</v>
      </c>
      <c r="AR42" s="396">
        <f t="shared" si="148"/>
        <v>0</v>
      </c>
      <c r="AS42" s="396">
        <f t="shared" si="149"/>
        <v>0</v>
      </c>
      <c r="AT42" s="396">
        <f t="shared" si="150"/>
        <v>0</v>
      </c>
      <c r="AU42" s="427">
        <f t="shared" si="151"/>
        <v>0</v>
      </c>
      <c r="AV42" s="427">
        <f t="shared" si="152"/>
        <v>0</v>
      </c>
    </row>
    <row r="43" spans="2:55" ht="15.75" customHeight="1" x14ac:dyDescent="0.25">
      <c r="B43" s="430"/>
      <c r="C43" s="431"/>
      <c r="D43" s="431"/>
      <c r="E43" s="432"/>
      <c r="F43" s="433"/>
      <c r="G43" s="431"/>
      <c r="H43" s="435"/>
      <c r="I43" s="396">
        <f>IF($E43="Yes",H43*Assumptions!$D$12,H43*Assumptions!$D$11)</f>
        <v>0</v>
      </c>
      <c r="J43" s="396">
        <v>0</v>
      </c>
      <c r="K43" s="427">
        <f t="shared" si="127"/>
        <v>0</v>
      </c>
      <c r="L43" s="396">
        <f t="shared" si="128"/>
        <v>0</v>
      </c>
      <c r="M43" s="396">
        <f t="shared" si="129"/>
        <v>0</v>
      </c>
      <c r="N43" s="396">
        <f t="shared" si="130"/>
        <v>0</v>
      </c>
      <c r="O43" s="396">
        <f t="shared" si="131"/>
        <v>0</v>
      </c>
      <c r="P43" s="396">
        <f t="shared" si="153"/>
        <v>0</v>
      </c>
      <c r="Q43" s="396">
        <f t="shared" si="132"/>
        <v>0</v>
      </c>
      <c r="R43" s="396">
        <f t="shared" si="133"/>
        <v>0</v>
      </c>
      <c r="S43" s="427">
        <f t="shared" si="134"/>
        <v>0</v>
      </c>
      <c r="T43" s="433"/>
      <c r="U43" s="431"/>
      <c r="V43" s="435"/>
      <c r="W43" s="396">
        <f>IF($E43="Yes",V43*Assumptions!$D$12,V43*Assumptions!$D$11)</f>
        <v>0</v>
      </c>
      <c r="X43" s="396">
        <v>0</v>
      </c>
      <c r="Y43" s="427">
        <f t="shared" si="135"/>
        <v>0</v>
      </c>
      <c r="Z43" s="396">
        <f t="shared" si="136"/>
        <v>0</v>
      </c>
      <c r="AA43" s="396">
        <f t="shared" si="137"/>
        <v>0</v>
      </c>
      <c r="AB43" s="396">
        <f t="shared" si="138"/>
        <v>0</v>
      </c>
      <c r="AC43" s="396">
        <f t="shared" si="139"/>
        <v>0</v>
      </c>
      <c r="AD43" s="396">
        <f t="shared" si="154"/>
        <v>0</v>
      </c>
      <c r="AE43" s="396">
        <f t="shared" si="140"/>
        <v>0</v>
      </c>
      <c r="AF43" s="396">
        <f t="shared" si="141"/>
        <v>0</v>
      </c>
      <c r="AG43" s="427">
        <f t="shared" si="142"/>
        <v>0</v>
      </c>
      <c r="AH43" s="433"/>
      <c r="AI43" s="431"/>
      <c r="AJ43" s="435"/>
      <c r="AK43" s="396">
        <f>IF($E43="Yes",AJ43*Assumptions!$D$12,AJ43*Assumptions!$D$11)</f>
        <v>0</v>
      </c>
      <c r="AL43" s="396">
        <v>0</v>
      </c>
      <c r="AM43" s="427">
        <f t="shared" si="143"/>
        <v>0</v>
      </c>
      <c r="AN43" s="429">
        <f t="shared" si="144"/>
        <v>0</v>
      </c>
      <c r="AO43" s="396">
        <f t="shared" si="145"/>
        <v>0</v>
      </c>
      <c r="AP43" s="396">
        <f t="shared" si="146"/>
        <v>0</v>
      </c>
      <c r="AQ43" s="396">
        <f t="shared" si="147"/>
        <v>0</v>
      </c>
      <c r="AR43" s="396">
        <f t="shared" si="148"/>
        <v>0</v>
      </c>
      <c r="AS43" s="396">
        <f t="shared" si="149"/>
        <v>0</v>
      </c>
      <c r="AT43" s="396">
        <f t="shared" si="150"/>
        <v>0</v>
      </c>
      <c r="AU43" s="427">
        <f t="shared" si="151"/>
        <v>0</v>
      </c>
      <c r="AV43" s="427">
        <f t="shared" si="152"/>
        <v>0</v>
      </c>
    </row>
    <row r="44" spans="2:55" ht="16.5" thickBot="1" x14ac:dyDescent="0.3">
      <c r="B44" s="430"/>
      <c r="C44" s="431"/>
      <c r="D44" s="431"/>
      <c r="E44" s="432"/>
      <c r="F44" s="433"/>
      <c r="G44" s="434"/>
      <c r="H44" s="435"/>
      <c r="I44" s="396">
        <f>IF($E44="Yes",H44*Assumptions!$D$12,H44*Assumptions!$D$11)</f>
        <v>0</v>
      </c>
      <c r="J44" s="396">
        <v>0</v>
      </c>
      <c r="K44" s="427">
        <f t="shared" si="127"/>
        <v>0</v>
      </c>
      <c r="L44" s="396">
        <f t="shared" si="128"/>
        <v>0</v>
      </c>
      <c r="M44" s="396">
        <f t="shared" si="129"/>
        <v>0</v>
      </c>
      <c r="N44" s="396">
        <f t="shared" si="130"/>
        <v>0</v>
      </c>
      <c r="O44" s="396">
        <f t="shared" si="131"/>
        <v>0</v>
      </c>
      <c r="P44" s="396">
        <f t="shared" si="153"/>
        <v>0</v>
      </c>
      <c r="Q44" s="396">
        <f t="shared" si="132"/>
        <v>0</v>
      </c>
      <c r="R44" s="396">
        <f t="shared" si="133"/>
        <v>0</v>
      </c>
      <c r="S44" s="427">
        <f t="shared" si="134"/>
        <v>0</v>
      </c>
      <c r="T44" s="433"/>
      <c r="U44" s="434"/>
      <c r="V44" s="435"/>
      <c r="W44" s="396">
        <f>IF($E44="Yes",V44*Assumptions!$D$12,V44*Assumptions!$D$11)</f>
        <v>0</v>
      </c>
      <c r="X44" s="396">
        <v>0</v>
      </c>
      <c r="Y44" s="427">
        <f t="shared" si="135"/>
        <v>0</v>
      </c>
      <c r="Z44" s="396">
        <f t="shared" si="136"/>
        <v>0</v>
      </c>
      <c r="AA44" s="396">
        <f t="shared" si="137"/>
        <v>0</v>
      </c>
      <c r="AB44" s="396">
        <f t="shared" si="138"/>
        <v>0</v>
      </c>
      <c r="AC44" s="396">
        <f t="shared" si="139"/>
        <v>0</v>
      </c>
      <c r="AD44" s="396">
        <f t="shared" si="154"/>
        <v>0</v>
      </c>
      <c r="AE44" s="396">
        <f t="shared" si="140"/>
        <v>0</v>
      </c>
      <c r="AF44" s="396">
        <f t="shared" si="141"/>
        <v>0</v>
      </c>
      <c r="AG44" s="427">
        <f t="shared" si="142"/>
        <v>0</v>
      </c>
      <c r="AH44" s="436"/>
      <c r="AI44" s="434"/>
      <c r="AJ44" s="435"/>
      <c r="AK44" s="396">
        <f>IF($E44="Yes",AJ44*Assumptions!$D$12,AJ44*Assumptions!$D$11)</f>
        <v>0</v>
      </c>
      <c r="AL44" s="396">
        <v>0</v>
      </c>
      <c r="AM44" s="427">
        <f t="shared" si="143"/>
        <v>0</v>
      </c>
      <c r="AN44" s="429">
        <f t="shared" si="144"/>
        <v>0</v>
      </c>
      <c r="AO44" s="396">
        <f t="shared" si="145"/>
        <v>0</v>
      </c>
      <c r="AP44" s="396">
        <f t="shared" si="146"/>
        <v>0</v>
      </c>
      <c r="AQ44" s="396">
        <f t="shared" si="147"/>
        <v>0</v>
      </c>
      <c r="AR44" s="396">
        <f t="shared" si="148"/>
        <v>0</v>
      </c>
      <c r="AS44" s="396">
        <f t="shared" si="149"/>
        <v>0</v>
      </c>
      <c r="AT44" s="396">
        <f t="shared" si="150"/>
        <v>0</v>
      </c>
      <c r="AU44" s="427">
        <f t="shared" si="151"/>
        <v>0</v>
      </c>
      <c r="AV44" s="427">
        <f t="shared" si="152"/>
        <v>0</v>
      </c>
    </row>
    <row r="45" spans="2:55" s="226" customFormat="1" ht="16.5" customHeight="1" thickBot="1" x14ac:dyDescent="0.3">
      <c r="B45" s="438" t="s">
        <v>622</v>
      </c>
      <c r="C45" s="439"/>
      <c r="D45" s="439"/>
      <c r="E45" s="440"/>
      <c r="F45" s="441">
        <f>SUM(F42:F44)</f>
        <v>0</v>
      </c>
      <c r="G45" s="442">
        <f t="shared" ref="G45:AV45" si="156">SUM(G42:G44)</f>
        <v>0</v>
      </c>
      <c r="H45" s="443">
        <f t="shared" si="156"/>
        <v>0</v>
      </c>
      <c r="I45" s="443">
        <f t="shared" si="156"/>
        <v>0</v>
      </c>
      <c r="J45" s="443">
        <f t="shared" si="156"/>
        <v>0</v>
      </c>
      <c r="K45" s="444">
        <f t="shared" si="156"/>
        <v>0</v>
      </c>
      <c r="L45" s="443">
        <f t="shared" si="156"/>
        <v>0</v>
      </c>
      <c r="M45" s="443">
        <f t="shared" si="156"/>
        <v>0</v>
      </c>
      <c r="N45" s="443">
        <f t="shared" si="156"/>
        <v>0</v>
      </c>
      <c r="O45" s="443">
        <f t="shared" si="156"/>
        <v>0</v>
      </c>
      <c r="P45" s="443">
        <f t="shared" si="156"/>
        <v>0</v>
      </c>
      <c r="Q45" s="443">
        <f t="shared" si="156"/>
        <v>0</v>
      </c>
      <c r="R45" s="443">
        <f t="shared" si="156"/>
        <v>0</v>
      </c>
      <c r="S45" s="444">
        <f t="shared" si="156"/>
        <v>0</v>
      </c>
      <c r="T45" s="445">
        <f t="shared" si="156"/>
        <v>0</v>
      </c>
      <c r="U45" s="442">
        <f t="shared" si="156"/>
        <v>0</v>
      </c>
      <c r="V45" s="443">
        <f t="shared" si="156"/>
        <v>0</v>
      </c>
      <c r="W45" s="443">
        <f t="shared" si="156"/>
        <v>0</v>
      </c>
      <c r="X45" s="443">
        <f t="shared" si="156"/>
        <v>0</v>
      </c>
      <c r="Y45" s="444">
        <f t="shared" si="156"/>
        <v>0</v>
      </c>
      <c r="Z45" s="443">
        <f t="shared" si="156"/>
        <v>0</v>
      </c>
      <c r="AA45" s="443">
        <f t="shared" si="156"/>
        <v>0</v>
      </c>
      <c r="AB45" s="443">
        <f t="shared" si="156"/>
        <v>0</v>
      </c>
      <c r="AC45" s="443">
        <f t="shared" si="156"/>
        <v>0</v>
      </c>
      <c r="AD45" s="443">
        <f t="shared" si="156"/>
        <v>0</v>
      </c>
      <c r="AE45" s="443">
        <f t="shared" si="156"/>
        <v>0</v>
      </c>
      <c r="AF45" s="443">
        <f t="shared" si="156"/>
        <v>0</v>
      </c>
      <c r="AG45" s="444">
        <f t="shared" si="156"/>
        <v>0</v>
      </c>
      <c r="AH45" s="442">
        <f t="shared" si="156"/>
        <v>0</v>
      </c>
      <c r="AI45" s="442">
        <f t="shared" si="156"/>
        <v>0</v>
      </c>
      <c r="AJ45" s="443">
        <f t="shared" si="156"/>
        <v>0</v>
      </c>
      <c r="AK45" s="443">
        <f t="shared" si="156"/>
        <v>0</v>
      </c>
      <c r="AL45" s="443">
        <f t="shared" si="156"/>
        <v>0</v>
      </c>
      <c r="AM45" s="444">
        <f t="shared" si="156"/>
        <v>0</v>
      </c>
      <c r="AN45" s="446">
        <f t="shared" si="156"/>
        <v>0</v>
      </c>
      <c r="AO45" s="443">
        <f t="shared" si="156"/>
        <v>0</v>
      </c>
      <c r="AP45" s="443">
        <f t="shared" si="156"/>
        <v>0</v>
      </c>
      <c r="AQ45" s="443">
        <f t="shared" si="156"/>
        <v>0</v>
      </c>
      <c r="AR45" s="443">
        <f t="shared" si="156"/>
        <v>0</v>
      </c>
      <c r="AS45" s="443">
        <f t="shared" si="156"/>
        <v>0</v>
      </c>
      <c r="AT45" s="443">
        <f t="shared" si="156"/>
        <v>0</v>
      </c>
      <c r="AU45" s="444">
        <f t="shared" si="156"/>
        <v>0</v>
      </c>
      <c r="AV45" s="444">
        <f t="shared" si="156"/>
        <v>0</v>
      </c>
      <c r="BA45" s="232"/>
      <c r="BB45" s="228"/>
      <c r="BC45" s="231"/>
    </row>
    <row r="46" spans="2:55" s="226" customFormat="1" ht="16.5" thickBot="1" x14ac:dyDescent="0.3">
      <c r="B46" s="456" t="s">
        <v>169</v>
      </c>
      <c r="C46" s="457"/>
      <c r="D46" s="458"/>
      <c r="E46" s="432" t="s">
        <v>290</v>
      </c>
      <c r="F46" s="459"/>
      <c r="G46" s="460"/>
      <c r="H46" s="461"/>
      <c r="I46" s="396">
        <f>IF($E46="Yes",H46*Assumptions!$D$12,H46*Assumptions!$D$11)</f>
        <v>0</v>
      </c>
      <c r="J46" s="462">
        <v>0</v>
      </c>
      <c r="K46" s="463">
        <f t="shared" ref="K46" si="157">I46+H46+J46</f>
        <v>0</v>
      </c>
      <c r="L46" s="396">
        <f>H46</f>
        <v>0</v>
      </c>
      <c r="M46" s="396">
        <f>I46</f>
        <v>0</v>
      </c>
      <c r="N46" s="396">
        <v>0</v>
      </c>
      <c r="O46" s="396">
        <f t="shared" si="131"/>
        <v>0</v>
      </c>
      <c r="P46" s="396"/>
      <c r="Q46" s="396"/>
      <c r="R46" s="396"/>
      <c r="S46" s="427"/>
      <c r="T46" s="464"/>
      <c r="U46" s="460"/>
      <c r="V46" s="461"/>
      <c r="W46" s="396">
        <f>IF($E46="Yes",V46*Assumptions!$D$12,V46*Assumptions!$D$11)</f>
        <v>0</v>
      </c>
      <c r="X46" s="462">
        <v>0</v>
      </c>
      <c r="Y46" s="463">
        <f t="shared" ref="Y46" si="158">W46+V46+X46</f>
        <v>0</v>
      </c>
      <c r="Z46" s="396">
        <f>V46</f>
        <v>0</v>
      </c>
      <c r="AA46" s="396">
        <f>W46</f>
        <v>0</v>
      </c>
      <c r="AB46" s="396">
        <v>0</v>
      </c>
      <c r="AC46" s="396">
        <f t="shared" ref="AC46" si="159">SUM(Z46:AB46)</f>
        <v>0</v>
      </c>
      <c r="AD46" s="396"/>
      <c r="AE46" s="396"/>
      <c r="AF46" s="396"/>
      <c r="AG46" s="427"/>
      <c r="AH46" s="460"/>
      <c r="AI46" s="460"/>
      <c r="AJ46" s="461"/>
      <c r="AK46" s="396">
        <f>IF($E46="Yes",AJ46*Assumptions!$D$12,AJ46*Assumptions!$D$11)</f>
        <v>0</v>
      </c>
      <c r="AL46" s="462">
        <v>0</v>
      </c>
      <c r="AM46" s="463">
        <f t="shared" ref="AM46" si="160">AK46+AJ46+AL46</f>
        <v>0</v>
      </c>
      <c r="AN46" s="429">
        <f>AJ46</f>
        <v>0</v>
      </c>
      <c r="AO46" s="396">
        <f>AK46</f>
        <v>0</v>
      </c>
      <c r="AP46" s="396">
        <v>0</v>
      </c>
      <c r="AQ46" s="396">
        <f t="shared" ref="AQ46" si="161">SUM(AN46:AP46)</f>
        <v>0</v>
      </c>
      <c r="AR46" s="396"/>
      <c r="AS46" s="396"/>
      <c r="AT46" s="396"/>
      <c r="AU46" s="427"/>
      <c r="AV46" s="463">
        <f>SUM(H46:W46)</f>
        <v>0</v>
      </c>
      <c r="BA46" s="227"/>
      <c r="BB46" s="227"/>
      <c r="BC46" s="231"/>
    </row>
    <row r="47" spans="2:55" s="226" customFormat="1" ht="16.5" customHeight="1" thickBot="1" x14ac:dyDescent="0.3">
      <c r="B47" s="465" t="s">
        <v>171</v>
      </c>
      <c r="C47" s="466"/>
      <c r="D47" s="466"/>
      <c r="E47" s="467"/>
      <c r="F47" s="468">
        <f>F45+F33+F40</f>
        <v>0</v>
      </c>
      <c r="G47" s="469">
        <f>G45+G33+G40</f>
        <v>0</v>
      </c>
      <c r="H47" s="470">
        <f t="shared" ref="H47:AV47" si="162">H45+H33+H40</f>
        <v>0</v>
      </c>
      <c r="I47" s="470">
        <f t="shared" si="162"/>
        <v>0</v>
      </c>
      <c r="J47" s="470">
        <f>J45+J33+J40</f>
        <v>0</v>
      </c>
      <c r="K47" s="471">
        <f t="shared" si="162"/>
        <v>0</v>
      </c>
      <c r="L47" s="472">
        <f t="shared" si="162"/>
        <v>0</v>
      </c>
      <c r="M47" s="473">
        <f t="shared" si="162"/>
        <v>0</v>
      </c>
      <c r="N47" s="473">
        <f t="shared" si="162"/>
        <v>0</v>
      </c>
      <c r="O47" s="473">
        <f t="shared" si="162"/>
        <v>0</v>
      </c>
      <c r="P47" s="473">
        <f t="shared" si="162"/>
        <v>0</v>
      </c>
      <c r="Q47" s="473">
        <f t="shared" si="162"/>
        <v>0</v>
      </c>
      <c r="R47" s="473">
        <f t="shared" si="162"/>
        <v>0</v>
      </c>
      <c r="S47" s="474">
        <f t="shared" si="162"/>
        <v>0</v>
      </c>
      <c r="T47" s="475">
        <f t="shared" si="162"/>
        <v>0</v>
      </c>
      <c r="U47" s="476">
        <f>U45+U33+U40</f>
        <v>0</v>
      </c>
      <c r="V47" s="470">
        <f t="shared" si="162"/>
        <v>0</v>
      </c>
      <c r="W47" s="470">
        <f t="shared" si="162"/>
        <v>0</v>
      </c>
      <c r="X47" s="470">
        <f t="shared" si="162"/>
        <v>0</v>
      </c>
      <c r="Y47" s="471">
        <f t="shared" si="162"/>
        <v>0</v>
      </c>
      <c r="Z47" s="472">
        <f t="shared" si="162"/>
        <v>0</v>
      </c>
      <c r="AA47" s="473">
        <f t="shared" si="162"/>
        <v>0</v>
      </c>
      <c r="AB47" s="473">
        <f t="shared" si="162"/>
        <v>0</v>
      </c>
      <c r="AC47" s="473">
        <f t="shared" si="162"/>
        <v>0</v>
      </c>
      <c r="AD47" s="473">
        <f t="shared" si="162"/>
        <v>0</v>
      </c>
      <c r="AE47" s="473">
        <f t="shared" si="162"/>
        <v>0</v>
      </c>
      <c r="AF47" s="473">
        <f t="shared" si="162"/>
        <v>0</v>
      </c>
      <c r="AG47" s="474">
        <f t="shared" si="162"/>
        <v>0</v>
      </c>
      <c r="AH47" s="476">
        <f>AH45+AH33+AH40</f>
        <v>0</v>
      </c>
      <c r="AI47" s="476">
        <f>AI45+AI33+AI40</f>
        <v>0</v>
      </c>
      <c r="AJ47" s="470">
        <f t="shared" si="162"/>
        <v>0</v>
      </c>
      <c r="AK47" s="470">
        <f t="shared" si="162"/>
        <v>0</v>
      </c>
      <c r="AL47" s="470">
        <f t="shared" si="162"/>
        <v>0</v>
      </c>
      <c r="AM47" s="471">
        <f t="shared" si="162"/>
        <v>0</v>
      </c>
      <c r="AN47" s="472">
        <f t="shared" si="162"/>
        <v>0</v>
      </c>
      <c r="AO47" s="473">
        <f t="shared" si="162"/>
        <v>0</v>
      </c>
      <c r="AP47" s="473">
        <f t="shared" si="162"/>
        <v>0</v>
      </c>
      <c r="AQ47" s="473">
        <f t="shared" si="162"/>
        <v>0</v>
      </c>
      <c r="AR47" s="473">
        <f t="shared" si="162"/>
        <v>0</v>
      </c>
      <c r="AS47" s="473">
        <f t="shared" si="162"/>
        <v>0</v>
      </c>
      <c r="AT47" s="473">
        <f t="shared" si="162"/>
        <v>0</v>
      </c>
      <c r="AU47" s="474">
        <f t="shared" si="162"/>
        <v>0</v>
      </c>
      <c r="AV47" s="471">
        <f t="shared" si="162"/>
        <v>0</v>
      </c>
      <c r="BA47" s="231"/>
    </row>
    <row r="48" spans="2:55" s="226" customFormat="1" ht="16.5" thickBot="1" x14ac:dyDescent="0.3">
      <c r="B48" s="477" t="s">
        <v>168</v>
      </c>
      <c r="C48" s="478"/>
      <c r="D48" s="478"/>
      <c r="E48" s="479"/>
      <c r="F48" s="480">
        <f>F47+F25</f>
        <v>0</v>
      </c>
      <c r="G48" s="481">
        <f>G47+G25</f>
        <v>0</v>
      </c>
      <c r="H48" s="482">
        <f>H47+H25</f>
        <v>0</v>
      </c>
      <c r="I48" s="482">
        <f>I47+I25</f>
        <v>0</v>
      </c>
      <c r="J48" s="482">
        <f t="shared" ref="J48:R48" si="163">J47+J25</f>
        <v>0</v>
      </c>
      <c r="K48" s="483">
        <f t="shared" ref="K48:V48" si="164">K47+K25</f>
        <v>0</v>
      </c>
      <c r="L48" s="482">
        <f t="shared" si="163"/>
        <v>0</v>
      </c>
      <c r="M48" s="482">
        <f t="shared" si="163"/>
        <v>0</v>
      </c>
      <c r="N48" s="482">
        <f t="shared" si="163"/>
        <v>0</v>
      </c>
      <c r="O48" s="482">
        <f>O47+O25</f>
        <v>0</v>
      </c>
      <c r="P48" s="482">
        <f t="shared" si="163"/>
        <v>0</v>
      </c>
      <c r="Q48" s="482">
        <f t="shared" si="163"/>
        <v>0</v>
      </c>
      <c r="R48" s="482">
        <f t="shared" si="163"/>
        <v>0</v>
      </c>
      <c r="S48" s="483">
        <f>S47+S25</f>
        <v>0</v>
      </c>
      <c r="T48" s="484">
        <f t="shared" si="164"/>
        <v>0</v>
      </c>
      <c r="U48" s="485">
        <f>U47+U25</f>
        <v>0</v>
      </c>
      <c r="V48" s="482">
        <f t="shared" si="164"/>
        <v>0</v>
      </c>
      <c r="W48" s="482">
        <f t="shared" ref="W48:AB48" si="165">W47+W25</f>
        <v>0</v>
      </c>
      <c r="X48" s="482">
        <f t="shared" si="165"/>
        <v>0</v>
      </c>
      <c r="Y48" s="483">
        <f t="shared" si="165"/>
        <v>0</v>
      </c>
      <c r="Z48" s="482">
        <f t="shared" si="165"/>
        <v>0</v>
      </c>
      <c r="AA48" s="482">
        <f t="shared" si="165"/>
        <v>0</v>
      </c>
      <c r="AB48" s="482">
        <f t="shared" si="165"/>
        <v>0</v>
      </c>
      <c r="AC48" s="482">
        <f>AC47+AC25</f>
        <v>0</v>
      </c>
      <c r="AD48" s="482">
        <f t="shared" ref="AD48:AF48" si="166">AD47+AD25</f>
        <v>0</v>
      </c>
      <c r="AE48" s="482">
        <f t="shared" si="166"/>
        <v>0</v>
      </c>
      <c r="AF48" s="482">
        <f t="shared" si="166"/>
        <v>0</v>
      </c>
      <c r="AG48" s="483">
        <f>AG47+AG25</f>
        <v>0</v>
      </c>
      <c r="AH48" s="485">
        <f>AH47+AH25</f>
        <v>0</v>
      </c>
      <c r="AI48" s="485">
        <f>AI47+AI25</f>
        <v>0</v>
      </c>
      <c r="AJ48" s="482">
        <f>AJ47+AJ25</f>
        <v>0</v>
      </c>
      <c r="AK48" s="482">
        <f t="shared" ref="AK48:AP48" si="167">AK47+AK25</f>
        <v>0</v>
      </c>
      <c r="AL48" s="482">
        <f t="shared" si="167"/>
        <v>0</v>
      </c>
      <c r="AM48" s="483">
        <f t="shared" si="167"/>
        <v>0</v>
      </c>
      <c r="AN48" s="486">
        <f t="shared" si="167"/>
        <v>0</v>
      </c>
      <c r="AO48" s="482">
        <f t="shared" si="167"/>
        <v>0</v>
      </c>
      <c r="AP48" s="482">
        <f t="shared" si="167"/>
        <v>0</v>
      </c>
      <c r="AQ48" s="482">
        <f>AQ47+AQ25</f>
        <v>0</v>
      </c>
      <c r="AR48" s="482">
        <f t="shared" ref="AR48:AT48" si="168">AR47+AR25</f>
        <v>0</v>
      </c>
      <c r="AS48" s="482">
        <f t="shared" si="168"/>
        <v>0</v>
      </c>
      <c r="AT48" s="482">
        <f t="shared" si="168"/>
        <v>0</v>
      </c>
      <c r="AU48" s="483">
        <f>AU47+AU25</f>
        <v>0</v>
      </c>
      <c r="AV48" s="483">
        <f>AV47+AV25</f>
        <v>0</v>
      </c>
      <c r="BA48" s="231"/>
    </row>
  </sheetData>
  <sheetProtection algorithmName="SHA-512" hashValue="MS48g5zIalZ+iSW/y5Qtu+S2xmoyfEAmYBG1KA/QEMeTfUwrvxqo8Jo/31f5qmLSHUw0+SCsGs3biPY8v3vIMw==" saltValue="3tSTGqhvrFfpI8QqKO9oBA==" spinCount="100000" sheet="1" objects="1" scenarios="1"/>
  <mergeCells count="6">
    <mergeCell ref="T6:AG6"/>
    <mergeCell ref="AH6:AU6"/>
    <mergeCell ref="AI7:AI8"/>
    <mergeCell ref="G7:G8"/>
    <mergeCell ref="F6:S6"/>
    <mergeCell ref="U7:U8"/>
  </mergeCells>
  <dataValidations count="4">
    <dataValidation type="list" allowBlank="1" showInputMessage="1" showErrorMessage="1" sqref="E41:E44 E27:E32 E46 E35:E39 E10:E16" xr:uid="{00000000-0002-0000-0400-000001000000}">
      <formula1>yesyes</formula1>
    </dataValidation>
    <dataValidation type="list" allowBlank="1" showInputMessage="1" showErrorMessage="1" sqref="D10:D16" xr:uid="{00000000-0002-0000-0400-000002000000}">
      <formula1>clinical</formula1>
    </dataValidation>
    <dataValidation type="list" allowBlank="1" showInputMessage="1" showErrorMessage="1" sqref="C41:C44" xr:uid="{7E17E638-0113-4C87-A21D-FD49252B6B91}">
      <formula1>mushrooms</formula1>
    </dataValidation>
    <dataValidation type="list" allowBlank="1" showInputMessage="1" showErrorMessage="1" sqref="C10:C16" xr:uid="{C588997A-61B9-4F8B-A83F-61E661711CB6}">
      <formula1>name</formula1>
    </dataValidation>
  </dataValidations>
  <printOptions horizontalCentered="1"/>
  <pageMargins left="0.7" right="0.7" top="0.75" bottom="0.75" header="0.3" footer="0.3"/>
  <pageSetup scale="3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3000000}">
          <x14:formula1>
            <xm:f>Depository1!$E$32:$E$36</xm:f>
          </x14:formula1>
          <xm:sqref>C19:C23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  <pageSetUpPr fitToPage="1"/>
  </sheetPr>
  <dimension ref="B1:N42"/>
  <sheetViews>
    <sheetView zoomScale="85" zoomScaleNormal="85" workbookViewId="0">
      <pane ySplit="8" topLeftCell="A9" activePane="bottomLeft" state="frozen"/>
      <selection activeCell="A63" sqref="A63:E64"/>
      <selection pane="bottomLeft" activeCell="H42" sqref="H42"/>
    </sheetView>
  </sheetViews>
  <sheetFormatPr defaultColWidth="8.85546875" defaultRowHeight="15" x14ac:dyDescent="0.25"/>
  <cols>
    <col min="1" max="1" width="1.7109375" style="1" customWidth="1"/>
    <col min="2" max="2" width="29" style="508" customWidth="1"/>
    <col min="3" max="5" width="13.5703125" style="523" customWidth="1"/>
    <col min="6" max="6" width="13.5703125" style="509" customWidth="1"/>
    <col min="7" max="7" width="1.85546875" style="508" customWidth="1"/>
    <col min="8" max="8" width="40.28515625" style="509" customWidth="1"/>
    <col min="9" max="9" width="12.5703125" style="508" hidden="1" customWidth="1"/>
    <col min="10" max="10" width="11.7109375" style="508" hidden="1" customWidth="1"/>
    <col min="11" max="11" width="14.28515625" style="508" bestFit="1" customWidth="1"/>
    <col min="12" max="12" width="12.5703125" style="508" bestFit="1" customWidth="1"/>
    <col min="13" max="13" width="11.5703125" style="1" bestFit="1" customWidth="1"/>
    <col min="14" max="16384" width="8.85546875" style="1"/>
  </cols>
  <sheetData>
    <row r="1" spans="2:12" s="56" customFormat="1" x14ac:dyDescent="0.25">
      <c r="B1" s="245"/>
      <c r="C1" s="491"/>
      <c r="D1" s="491"/>
      <c r="E1" s="491"/>
      <c r="F1" s="492"/>
      <c r="G1" s="245"/>
      <c r="H1" s="492"/>
      <c r="I1" s="245"/>
      <c r="J1" s="245"/>
      <c r="K1" s="245"/>
      <c r="L1" s="245"/>
    </row>
    <row r="2" spans="2:12" s="56" customFormat="1" x14ac:dyDescent="0.25">
      <c r="B2" s="245"/>
      <c r="C2" s="491"/>
      <c r="D2" s="491"/>
      <c r="E2" s="491"/>
      <c r="F2" s="492"/>
      <c r="G2" s="245"/>
      <c r="H2" s="492"/>
      <c r="I2" s="245"/>
      <c r="J2" s="245"/>
      <c r="K2" s="245"/>
      <c r="L2" s="245"/>
    </row>
    <row r="3" spans="2:12" s="56" customFormat="1" x14ac:dyDescent="0.25">
      <c r="B3" s="245"/>
      <c r="C3" s="491"/>
      <c r="D3" s="491"/>
      <c r="E3" s="491"/>
      <c r="F3" s="492"/>
      <c r="G3" s="245"/>
      <c r="H3" s="492"/>
      <c r="I3" s="245"/>
      <c r="J3" s="245"/>
      <c r="K3" s="245"/>
      <c r="L3" s="245"/>
    </row>
    <row r="4" spans="2:12" s="56" customFormat="1" x14ac:dyDescent="0.25">
      <c r="B4" s="245"/>
      <c r="C4" s="491"/>
      <c r="D4" s="491"/>
      <c r="E4" s="491"/>
      <c r="F4" s="492"/>
      <c r="G4" s="245"/>
      <c r="H4" s="492"/>
      <c r="I4" s="245"/>
      <c r="J4" s="245"/>
      <c r="K4" s="245"/>
      <c r="L4" s="245"/>
    </row>
    <row r="5" spans="2:12" s="56" customFormat="1" ht="18.75" x14ac:dyDescent="0.3">
      <c r="B5" s="493" t="s">
        <v>228</v>
      </c>
      <c r="C5" s="491"/>
      <c r="D5" s="491"/>
      <c r="E5" s="491"/>
      <c r="F5" s="492"/>
      <c r="G5" s="245"/>
      <c r="H5" s="492"/>
      <c r="I5" s="245"/>
      <c r="J5" s="245"/>
      <c r="K5" s="245"/>
      <c r="L5" s="245"/>
    </row>
    <row r="6" spans="2:12" s="56" customFormat="1" ht="19.5" thickBot="1" x14ac:dyDescent="0.35">
      <c r="B6" s="494"/>
      <c r="C6" s="491"/>
      <c r="D6" s="491"/>
      <c r="E6" s="491"/>
      <c r="F6" s="492"/>
      <c r="G6" s="245"/>
      <c r="H6" s="492"/>
      <c r="I6" s="245"/>
      <c r="J6" s="245"/>
      <c r="K6" s="245"/>
      <c r="L6" s="245"/>
    </row>
    <row r="7" spans="2:12" s="56" customFormat="1" x14ac:dyDescent="0.25">
      <c r="B7" s="495"/>
      <c r="C7" s="496" t="s">
        <v>215</v>
      </c>
      <c r="D7" s="496" t="s">
        <v>216</v>
      </c>
      <c r="E7" s="497" t="s">
        <v>217</v>
      </c>
      <c r="F7" s="496" t="s">
        <v>220</v>
      </c>
      <c r="G7" s="245"/>
      <c r="H7" s="496" t="s">
        <v>459</v>
      </c>
      <c r="I7" s="245"/>
      <c r="J7" s="245"/>
      <c r="K7" s="245"/>
      <c r="L7" s="245"/>
    </row>
    <row r="8" spans="2:12" s="56" customFormat="1" ht="15.75" thickBot="1" x14ac:dyDescent="0.3">
      <c r="B8" s="498" t="s">
        <v>166</v>
      </c>
      <c r="C8" s="499" t="s">
        <v>219</v>
      </c>
      <c r="D8" s="499" t="s">
        <v>219</v>
      </c>
      <c r="E8" s="500" t="s">
        <v>219</v>
      </c>
      <c r="F8" s="499" t="s">
        <v>165</v>
      </c>
      <c r="G8" s="245"/>
      <c r="H8" s="499" t="s">
        <v>58</v>
      </c>
      <c r="I8" s="245"/>
      <c r="J8" s="245"/>
      <c r="K8" s="245"/>
      <c r="L8" s="245"/>
    </row>
    <row r="9" spans="2:12" s="56" customFormat="1" x14ac:dyDescent="0.25">
      <c r="B9" s="501" t="s">
        <v>35</v>
      </c>
      <c r="C9" s="502"/>
      <c r="D9" s="502"/>
      <c r="E9" s="503"/>
      <c r="F9" s="502"/>
      <c r="G9" s="245"/>
      <c r="H9" s="504"/>
      <c r="I9" s="245"/>
      <c r="J9" s="245"/>
      <c r="K9" s="245"/>
      <c r="L9" s="245"/>
    </row>
    <row r="10" spans="2:12" s="46" customFormat="1" x14ac:dyDescent="0.25">
      <c r="B10" s="505" t="s">
        <v>237</v>
      </c>
      <c r="C10" s="506"/>
      <c r="D10" s="506"/>
      <c r="E10" s="506"/>
      <c r="F10" s="502">
        <f>SUM(C10:E10)</f>
        <v>0</v>
      </c>
      <c r="G10" s="508"/>
      <c r="H10" s="504"/>
      <c r="I10" s="509" t="e">
        <f>IF(#REF!&gt;0,(#REF!/#REF!)*#REF!," ")</f>
        <v>#REF!</v>
      </c>
      <c r="J10" s="509" t="e">
        <f>IF(#REF!&gt;0,(#REF!/#REF!)*#REF!," ")</f>
        <v>#REF!</v>
      </c>
      <c r="K10" s="508"/>
      <c r="L10" s="508"/>
    </row>
    <row r="11" spans="2:12" s="46" customFormat="1" x14ac:dyDescent="0.25">
      <c r="B11" s="505" t="s">
        <v>238</v>
      </c>
      <c r="C11" s="506"/>
      <c r="D11" s="506"/>
      <c r="E11" s="506"/>
      <c r="F11" s="502">
        <f t="shared" ref="F11:F20" si="0">SUM(C11:E11)</f>
        <v>0</v>
      </c>
      <c r="G11" s="508"/>
      <c r="H11" s="504"/>
      <c r="I11" s="509" t="e">
        <f>IF(#REF!&gt;0,(#REF!/#REF!)*#REF!," ")</f>
        <v>#REF!</v>
      </c>
      <c r="J11" s="509" t="e">
        <f>IF(#REF!&gt;0,(#REF!/#REF!)*#REF!," ")</f>
        <v>#REF!</v>
      </c>
      <c r="K11" s="508"/>
      <c r="L11" s="508"/>
    </row>
    <row r="12" spans="2:12" s="46" customFormat="1" x14ac:dyDescent="0.25">
      <c r="B12" s="510" t="s">
        <v>256</v>
      </c>
      <c r="C12" s="506"/>
      <c r="D12" s="506"/>
      <c r="E12" s="506"/>
      <c r="F12" s="502">
        <f t="shared" si="0"/>
        <v>0</v>
      </c>
      <c r="G12" s="508"/>
      <c r="H12" s="504"/>
      <c r="I12" s="509" t="e">
        <f>IF(#REF!&gt;0,(#REF!/#REF!)*#REF!," ")</f>
        <v>#REF!</v>
      </c>
      <c r="J12" s="509" t="e">
        <f>IF(#REF!&gt;0,(#REF!/#REF!)*#REF!," ")</f>
        <v>#REF!</v>
      </c>
      <c r="K12" s="508"/>
      <c r="L12" s="508"/>
    </row>
    <row r="13" spans="2:12" s="46" customFormat="1" x14ac:dyDescent="0.25">
      <c r="B13" s="505"/>
      <c r="C13" s="506"/>
      <c r="D13" s="506"/>
      <c r="E13" s="507"/>
      <c r="F13" s="502">
        <f t="shared" si="0"/>
        <v>0</v>
      </c>
      <c r="G13" s="508"/>
      <c r="H13" s="504"/>
      <c r="I13" s="509" t="e">
        <f>IF(#REF!&gt;0,(#REF!/#REF!)*#REF!," ")</f>
        <v>#REF!</v>
      </c>
      <c r="J13" s="509" t="e">
        <f>IF(#REF!&gt;0,(#REF!/#REF!)*#REF!," ")</f>
        <v>#REF!</v>
      </c>
      <c r="K13" s="508"/>
      <c r="L13" s="508"/>
    </row>
    <row r="14" spans="2:12" s="46" customFormat="1" x14ac:dyDescent="0.25">
      <c r="B14" s="505"/>
      <c r="C14" s="506"/>
      <c r="D14" s="506"/>
      <c r="E14" s="507"/>
      <c r="F14" s="502">
        <f t="shared" si="0"/>
        <v>0</v>
      </c>
      <c r="G14" s="508"/>
      <c r="H14" s="504"/>
      <c r="I14" s="509" t="e">
        <f>IF(#REF!&gt;0,(#REF!/#REF!)*#REF!," ")</f>
        <v>#REF!</v>
      </c>
      <c r="J14" s="509" t="e">
        <f>IF(#REF!&gt;0,(#REF!/#REF!)*#REF!," ")</f>
        <v>#REF!</v>
      </c>
      <c r="K14" s="508"/>
      <c r="L14" s="508"/>
    </row>
    <row r="15" spans="2:12" s="46" customFormat="1" ht="15.75" thickBot="1" x14ac:dyDescent="0.3">
      <c r="B15" s="505"/>
      <c r="C15" s="506"/>
      <c r="D15" s="506"/>
      <c r="E15" s="507"/>
      <c r="F15" s="502">
        <f t="shared" si="0"/>
        <v>0</v>
      </c>
      <c r="G15" s="508"/>
      <c r="H15" s="504"/>
      <c r="I15" s="509" t="e">
        <f>IF(#REF!&gt;0,(#REF!/#REF!)*#REF!," ")</f>
        <v>#REF!</v>
      </c>
      <c r="J15" s="509" t="e">
        <f>IF(#REF!&gt;0,(#REF!/#REF!)*#REF!," ")</f>
        <v>#REF!</v>
      </c>
      <c r="K15" s="508"/>
      <c r="L15" s="508"/>
    </row>
    <row r="16" spans="2:12" s="58" customFormat="1" ht="15.75" thickBot="1" x14ac:dyDescent="0.3">
      <c r="B16" s="511" t="s">
        <v>229</v>
      </c>
      <c r="C16" s="512">
        <f>SUM(C10:C15)</f>
        <v>0</v>
      </c>
      <c r="D16" s="512">
        <f>SUM(D10:D15)</f>
        <v>0</v>
      </c>
      <c r="E16" s="513">
        <f>SUM(E10:E15)</f>
        <v>0</v>
      </c>
      <c r="F16" s="512">
        <f>SUM(F10:F15)</f>
        <v>0</v>
      </c>
      <c r="G16" s="245"/>
      <c r="H16" s="514"/>
      <c r="I16" s="492" t="e">
        <f>SUM(I10:I15)</f>
        <v>#REF!</v>
      </c>
      <c r="J16" s="492" t="e">
        <f>SUM(J10:J15)</f>
        <v>#REF!</v>
      </c>
      <c r="K16" s="492"/>
      <c r="L16" s="515"/>
    </row>
    <row r="17" spans="2:14" x14ac:dyDescent="0.25">
      <c r="B17" s="501" t="s">
        <v>36</v>
      </c>
      <c r="C17" s="502"/>
      <c r="D17" s="502"/>
      <c r="E17" s="503"/>
      <c r="F17" s="502">
        <f t="shared" si="0"/>
        <v>0</v>
      </c>
      <c r="H17" s="504"/>
    </row>
    <row r="18" spans="2:14" x14ac:dyDescent="0.25">
      <c r="B18" s="510" t="s">
        <v>256</v>
      </c>
      <c r="C18" s="506"/>
      <c r="D18" s="506"/>
      <c r="E18" s="506"/>
      <c r="F18" s="502">
        <f t="shared" si="0"/>
        <v>0</v>
      </c>
      <c r="H18" s="504"/>
    </row>
    <row r="19" spans="2:14" x14ac:dyDescent="0.25">
      <c r="B19" s="505"/>
      <c r="C19" s="506"/>
      <c r="D19" s="506"/>
      <c r="E19" s="507"/>
      <c r="F19" s="502">
        <f t="shared" si="0"/>
        <v>0</v>
      </c>
      <c r="H19" s="504"/>
    </row>
    <row r="20" spans="2:14" ht="15.75" thickBot="1" x14ac:dyDescent="0.3">
      <c r="B20" s="505"/>
      <c r="C20" s="506"/>
      <c r="D20" s="506"/>
      <c r="E20" s="507"/>
      <c r="F20" s="502">
        <f t="shared" si="0"/>
        <v>0</v>
      </c>
      <c r="H20" s="504"/>
    </row>
    <row r="21" spans="2:14" s="56" customFormat="1" ht="15.75" thickBot="1" x14ac:dyDescent="0.3">
      <c r="B21" s="511" t="s">
        <v>236</v>
      </c>
      <c r="C21" s="512">
        <f>SUM(C17:C20)</f>
        <v>0</v>
      </c>
      <c r="D21" s="512">
        <f>SUM(D17:D20)</f>
        <v>0</v>
      </c>
      <c r="E21" s="516">
        <f>SUM(E17:E20)</f>
        <v>0</v>
      </c>
      <c r="F21" s="512">
        <f>E21+D21+C21</f>
        <v>0</v>
      </c>
      <c r="G21" s="245"/>
      <c r="H21" s="514"/>
      <c r="I21" s="245"/>
      <c r="J21" s="245"/>
      <c r="K21" s="245"/>
      <c r="L21" s="245"/>
    </row>
    <row r="22" spans="2:14" s="56" customFormat="1" x14ac:dyDescent="0.25">
      <c r="B22" s="501" t="s">
        <v>230</v>
      </c>
      <c r="C22" s="502"/>
      <c r="D22" s="502"/>
      <c r="E22" s="503"/>
      <c r="F22" s="502"/>
      <c r="G22" s="245"/>
      <c r="H22" s="504"/>
      <c r="I22" s="245"/>
      <c r="J22" s="245"/>
      <c r="K22" s="245"/>
      <c r="L22" s="245"/>
    </row>
    <row r="23" spans="2:14" x14ac:dyDescent="0.25">
      <c r="B23" s="510" t="s">
        <v>256</v>
      </c>
      <c r="C23" s="506"/>
      <c r="D23" s="506"/>
      <c r="E23" s="506"/>
      <c r="F23" s="502">
        <f t="shared" ref="F23:F25" si="1">SUM(C23:E23)</f>
        <v>0</v>
      </c>
      <c r="H23" s="504"/>
    </row>
    <row r="24" spans="2:14" x14ac:dyDescent="0.25">
      <c r="B24" s="505"/>
      <c r="C24" s="506"/>
      <c r="D24" s="506"/>
      <c r="E24" s="507"/>
      <c r="F24" s="502">
        <f t="shared" si="1"/>
        <v>0</v>
      </c>
      <c r="H24" s="504"/>
    </row>
    <row r="25" spans="2:14" ht="15.75" thickBot="1" x14ac:dyDescent="0.3">
      <c r="B25" s="505"/>
      <c r="C25" s="506"/>
      <c r="D25" s="506"/>
      <c r="E25" s="507"/>
      <c r="F25" s="502">
        <f t="shared" si="1"/>
        <v>0</v>
      </c>
      <c r="H25" s="504"/>
    </row>
    <row r="26" spans="2:14" s="56" customFormat="1" ht="15.75" thickBot="1" x14ac:dyDescent="0.3">
      <c r="B26" s="511" t="s">
        <v>235</v>
      </c>
      <c r="C26" s="512">
        <f>SUM(C23:C25)</f>
        <v>0</v>
      </c>
      <c r="D26" s="512">
        <f>SUM(D23:D25)</f>
        <v>0</v>
      </c>
      <c r="E26" s="516">
        <f>SUM(E23:E25)</f>
        <v>0</v>
      </c>
      <c r="F26" s="512">
        <f>SUM(F23:F25)</f>
        <v>0</v>
      </c>
      <c r="G26" s="245"/>
      <c r="H26" s="514"/>
      <c r="I26" s="245"/>
      <c r="J26" s="245"/>
      <c r="K26" s="492"/>
      <c r="L26" s="515"/>
    </row>
    <row r="27" spans="2:14" s="56" customFormat="1" x14ac:dyDescent="0.25">
      <c r="B27" s="501" t="s">
        <v>209</v>
      </c>
      <c r="C27" s="502"/>
      <c r="D27" s="502"/>
      <c r="E27" s="503"/>
      <c r="F27" s="502"/>
      <c r="G27" s="245"/>
      <c r="H27" s="504"/>
      <c r="I27" s="245"/>
      <c r="J27" s="245"/>
      <c r="K27" s="245"/>
      <c r="L27" s="245"/>
    </row>
    <row r="28" spans="2:14" x14ac:dyDescent="0.25">
      <c r="B28" s="505" t="s">
        <v>231</v>
      </c>
      <c r="C28" s="506"/>
      <c r="D28" s="506"/>
      <c r="E28" s="506"/>
      <c r="F28" s="502">
        <f t="shared" ref="F28:F37" si="2">E28+D28+C28</f>
        <v>0</v>
      </c>
      <c r="H28" s="504"/>
      <c r="N28"/>
    </row>
    <row r="29" spans="2:14" x14ac:dyDescent="0.25">
      <c r="B29" s="505" t="s">
        <v>232</v>
      </c>
      <c r="C29" s="506"/>
      <c r="D29" s="506"/>
      <c r="E29" s="506"/>
      <c r="F29" s="502">
        <f t="shared" si="2"/>
        <v>0</v>
      </c>
      <c r="H29" s="504"/>
    </row>
    <row r="30" spans="2:14" x14ac:dyDescent="0.25">
      <c r="B30" s="505" t="s">
        <v>252</v>
      </c>
      <c r="C30" s="506"/>
      <c r="D30" s="506"/>
      <c r="E30" s="506"/>
      <c r="F30" s="502">
        <f t="shared" si="2"/>
        <v>0</v>
      </c>
      <c r="H30" s="504"/>
    </row>
    <row r="31" spans="2:14" x14ac:dyDescent="0.25">
      <c r="B31" s="505" t="s">
        <v>253</v>
      </c>
      <c r="C31" s="506"/>
      <c r="D31" s="506"/>
      <c r="E31" s="506"/>
      <c r="F31" s="502">
        <f t="shared" si="2"/>
        <v>0</v>
      </c>
      <c r="H31" s="504"/>
    </row>
    <row r="32" spans="2:14" x14ac:dyDescent="0.25">
      <c r="B32" s="505" t="s">
        <v>254</v>
      </c>
      <c r="C32" s="506"/>
      <c r="D32" s="506"/>
      <c r="E32" s="506"/>
      <c r="F32" s="502">
        <f t="shared" si="2"/>
        <v>0</v>
      </c>
      <c r="H32" s="504"/>
    </row>
    <row r="33" spans="2:12" x14ac:dyDescent="0.25">
      <c r="B33" s="505" t="s">
        <v>255</v>
      </c>
      <c r="C33" s="506"/>
      <c r="D33" s="506"/>
      <c r="E33" s="506"/>
      <c r="F33" s="502">
        <f t="shared" si="2"/>
        <v>0</v>
      </c>
      <c r="H33" s="504"/>
    </row>
    <row r="34" spans="2:12" x14ac:dyDescent="0.25">
      <c r="B34" s="510" t="s">
        <v>256</v>
      </c>
      <c r="C34" s="506"/>
      <c r="D34" s="506"/>
      <c r="E34" s="506"/>
      <c r="F34" s="502">
        <f t="shared" si="2"/>
        <v>0</v>
      </c>
      <c r="H34" s="504"/>
    </row>
    <row r="35" spans="2:12" x14ac:dyDescent="0.25">
      <c r="B35" s="510"/>
      <c r="C35" s="506"/>
      <c r="D35" s="506"/>
      <c r="E35" s="507"/>
      <c r="F35" s="502">
        <f t="shared" si="2"/>
        <v>0</v>
      </c>
      <c r="H35" s="504"/>
    </row>
    <row r="36" spans="2:12" x14ac:dyDescent="0.25">
      <c r="B36" s="510"/>
      <c r="C36" s="506"/>
      <c r="D36" s="506"/>
      <c r="E36" s="507"/>
      <c r="F36" s="502">
        <f t="shared" si="2"/>
        <v>0</v>
      </c>
      <c r="H36" s="504"/>
    </row>
    <row r="37" spans="2:12" ht="15.75" thickBot="1" x14ac:dyDescent="0.3">
      <c r="B37" s="510"/>
      <c r="C37" s="506"/>
      <c r="D37" s="506"/>
      <c r="E37" s="507"/>
      <c r="F37" s="502">
        <f t="shared" si="2"/>
        <v>0</v>
      </c>
      <c r="H37" s="504"/>
    </row>
    <row r="38" spans="2:12" s="56" customFormat="1" ht="15.75" thickBot="1" x14ac:dyDescent="0.3">
      <c r="B38" s="511" t="s">
        <v>234</v>
      </c>
      <c r="C38" s="512">
        <f>SUM(C28:C37)</f>
        <v>0</v>
      </c>
      <c r="D38" s="512">
        <f>SUM(D28:D37)</f>
        <v>0</v>
      </c>
      <c r="E38" s="513">
        <f>SUM(E28:E37)</f>
        <v>0</v>
      </c>
      <c r="F38" s="512">
        <f>SUM(F28:F37)</f>
        <v>0</v>
      </c>
      <c r="G38" s="245"/>
      <c r="H38" s="514"/>
      <c r="I38" s="245"/>
      <c r="J38" s="245"/>
      <c r="K38" s="517"/>
      <c r="L38" s="515"/>
    </row>
    <row r="39" spans="2:12" s="56" customFormat="1" ht="15.75" thickBot="1" x14ac:dyDescent="0.3">
      <c r="B39" s="518" t="s">
        <v>233</v>
      </c>
      <c r="C39" s="519">
        <f>C38+C26+C21+C16</f>
        <v>0</v>
      </c>
      <c r="D39" s="519">
        <f>D38+D26+D21+D16</f>
        <v>0</v>
      </c>
      <c r="E39" s="520">
        <f>E38+E26+E21+E16</f>
        <v>0</v>
      </c>
      <c r="F39" s="519">
        <f>F38+F26+F21+F16</f>
        <v>0</v>
      </c>
      <c r="G39" s="245"/>
      <c r="H39" s="521"/>
      <c r="I39" s="245"/>
      <c r="J39" s="245"/>
      <c r="K39" s="245"/>
      <c r="L39" s="245"/>
    </row>
    <row r="40" spans="2:12" s="56" customFormat="1" x14ac:dyDescent="0.25">
      <c r="B40" s="522" t="s">
        <v>163</v>
      </c>
      <c r="C40" s="491"/>
      <c r="D40" s="491"/>
      <c r="E40" s="491"/>
      <c r="F40" s="492"/>
      <c r="G40" s="245"/>
      <c r="H40" s="492"/>
      <c r="I40" s="245"/>
      <c r="J40" s="245"/>
      <c r="K40" s="245"/>
      <c r="L40" s="245"/>
    </row>
    <row r="42" spans="2:12" x14ac:dyDescent="0.25">
      <c r="B42" s="524"/>
    </row>
  </sheetData>
  <sheetProtection algorithmName="SHA-512" hashValue="a5FHdysiorUu0FBhBLDesQaKXzu3o+AIMfgz8tfU8AeVYn9ufj2t+t7rb9QeG8qOgj1XKl0PPy4KOLQKhgs4lA==" saltValue="8NGQzqdncDoIA1EX/aLFLw==" spinCount="100000" sheet="1" objects="1" scenarios="1"/>
  <printOptions horizontalCentered="1" verticalCentered="1"/>
  <pageMargins left="0.25" right="0.25" top="0.75" bottom="0.75" header="0.3" footer="0.3"/>
  <pageSetup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084B3-6AD6-4245-AA7F-37FDA023465B}">
  <sheetPr>
    <tabColor theme="5" tint="-0.249977111117893"/>
    <pageSetUpPr fitToPage="1"/>
  </sheetPr>
  <dimension ref="A1:AA42"/>
  <sheetViews>
    <sheetView showGridLines="0" zoomScaleNormal="100" workbookViewId="0">
      <pane xSplit="2" ySplit="4" topLeftCell="C5" activePane="bottomRight" state="frozen"/>
      <selection activeCell="D26" sqref="D26"/>
      <selection pane="topRight" activeCell="D26" sqref="D26"/>
      <selection pane="bottomLeft" activeCell="D26" sqref="D26"/>
      <selection pane="bottomRight" activeCell="C8" sqref="C8"/>
    </sheetView>
  </sheetViews>
  <sheetFormatPr defaultRowHeight="15" outlineLevelRow="1" x14ac:dyDescent="0.25"/>
  <cols>
    <col min="1" max="1" width="15.85546875" style="119" customWidth="1"/>
    <col min="2" max="2" width="35" style="119" bestFit="1" customWidth="1"/>
    <col min="3" max="7" width="12.7109375" style="119" customWidth="1"/>
    <col min="8" max="8" width="15.140625" style="119" customWidth="1"/>
    <col min="9" max="9" width="12.7109375" style="119" customWidth="1"/>
    <col min="10" max="10" width="2.7109375" style="119" customWidth="1"/>
    <col min="11" max="15" width="12.7109375" style="119" customWidth="1"/>
    <col min="16" max="16" width="15.140625" style="119" customWidth="1"/>
    <col min="17" max="17" width="12.7109375" style="119" customWidth="1"/>
    <col min="18" max="18" width="2.7109375" style="119" customWidth="1"/>
    <col min="19" max="23" width="12.7109375" style="119" customWidth="1"/>
    <col min="24" max="24" width="15.140625" style="119" customWidth="1"/>
    <col min="25" max="25" width="12.7109375" style="119" customWidth="1"/>
    <col min="26" max="26" width="3" style="103" customWidth="1"/>
    <col min="27" max="27" width="12.7109375" style="119" customWidth="1"/>
    <col min="28" max="16384" width="9.140625" style="103"/>
  </cols>
  <sheetData>
    <row r="1" spans="1:27" x14ac:dyDescent="0.25">
      <c r="B1" s="119" t="s">
        <v>525</v>
      </c>
    </row>
    <row r="3" spans="1:27" x14ac:dyDescent="0.25">
      <c r="C3" s="619" t="s">
        <v>23</v>
      </c>
      <c r="D3" s="620"/>
      <c r="E3" s="620"/>
      <c r="F3" s="620"/>
      <c r="G3" s="620"/>
      <c r="H3" s="620"/>
      <c r="I3" s="621"/>
      <c r="K3" s="619" t="s">
        <v>24</v>
      </c>
      <c r="L3" s="620"/>
      <c r="M3" s="620"/>
      <c r="N3" s="620"/>
      <c r="O3" s="620"/>
      <c r="P3" s="620"/>
      <c r="Q3" s="621"/>
      <c r="S3" s="619" t="s">
        <v>25</v>
      </c>
      <c r="T3" s="620"/>
      <c r="U3" s="620"/>
      <c r="V3" s="620"/>
      <c r="W3" s="620"/>
      <c r="X3" s="620"/>
      <c r="Y3" s="621"/>
      <c r="AA3" s="103"/>
    </row>
    <row r="4" spans="1:27" ht="33.75" customHeight="1" x14ac:dyDescent="0.25">
      <c r="C4" s="120" t="s">
        <v>526</v>
      </c>
      <c r="D4" s="120" t="s">
        <v>527</v>
      </c>
      <c r="E4" s="120" t="s">
        <v>528</v>
      </c>
      <c r="F4" s="120" t="s">
        <v>529</v>
      </c>
      <c r="G4" s="121" t="s">
        <v>432</v>
      </c>
      <c r="H4" s="120" t="s">
        <v>530</v>
      </c>
      <c r="I4" s="246" t="s">
        <v>26</v>
      </c>
      <c r="K4" s="120" t="s">
        <v>526</v>
      </c>
      <c r="L4" s="120" t="s">
        <v>527</v>
      </c>
      <c r="M4" s="120" t="s">
        <v>528</v>
      </c>
      <c r="N4" s="120" t="s">
        <v>529</v>
      </c>
      <c r="O4" s="121" t="s">
        <v>432</v>
      </c>
      <c r="P4" s="120" t="s">
        <v>530</v>
      </c>
      <c r="Q4" s="246" t="s">
        <v>26</v>
      </c>
      <c r="S4" s="120" t="s">
        <v>526</v>
      </c>
      <c r="T4" s="120" t="s">
        <v>527</v>
      </c>
      <c r="U4" s="120" t="s">
        <v>528</v>
      </c>
      <c r="V4" s="120" t="s">
        <v>529</v>
      </c>
      <c r="W4" s="121" t="s">
        <v>432</v>
      </c>
      <c r="X4" s="120" t="s">
        <v>530</v>
      </c>
      <c r="Y4" s="246" t="s">
        <v>26</v>
      </c>
      <c r="AA4" s="246" t="s">
        <v>643</v>
      </c>
    </row>
    <row r="5" spans="1:27" ht="15" customHeight="1" x14ac:dyDescent="0.25">
      <c r="B5" s="119" t="s">
        <v>531</v>
      </c>
      <c r="C5" s="122"/>
      <c r="D5" s="122"/>
      <c r="E5" s="122"/>
      <c r="F5" s="122"/>
      <c r="G5" s="122"/>
      <c r="H5" s="123"/>
      <c r="I5" s="247"/>
      <c r="K5" s="122"/>
      <c r="L5" s="122"/>
      <c r="M5" s="122"/>
      <c r="N5" s="122"/>
      <c r="O5" s="122"/>
      <c r="P5" s="123"/>
      <c r="Q5" s="247"/>
      <c r="S5" s="122"/>
      <c r="T5" s="122"/>
      <c r="U5" s="122"/>
      <c r="V5" s="122"/>
      <c r="W5" s="122"/>
      <c r="X5" s="123"/>
      <c r="Y5" s="247"/>
      <c r="AA5" s="247"/>
    </row>
    <row r="6" spans="1:27" ht="15" customHeight="1" x14ac:dyDescent="0.25">
      <c r="B6" s="124" t="s">
        <v>532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8">
        <v>0</v>
      </c>
      <c r="I6" s="248">
        <f>SUM(C6:H6)</f>
        <v>0</v>
      </c>
      <c r="K6" s="217">
        <v>0</v>
      </c>
      <c r="L6" s="217">
        <v>0</v>
      </c>
      <c r="M6" s="217">
        <v>0</v>
      </c>
      <c r="N6" s="217">
        <v>0</v>
      </c>
      <c r="O6" s="217">
        <v>0</v>
      </c>
      <c r="P6" s="218">
        <v>0</v>
      </c>
      <c r="Q6" s="248">
        <f>SUM(K6:P6)</f>
        <v>0</v>
      </c>
      <c r="S6" s="217">
        <v>0</v>
      </c>
      <c r="T6" s="217">
        <v>0</v>
      </c>
      <c r="U6" s="217">
        <v>0</v>
      </c>
      <c r="V6" s="217">
        <v>0</v>
      </c>
      <c r="W6" s="217">
        <v>0</v>
      </c>
      <c r="X6" s="218">
        <v>0</v>
      </c>
      <c r="Y6" s="248">
        <f>SUM(S6:X6)</f>
        <v>0</v>
      </c>
      <c r="AA6" s="248">
        <f>I6+Q6+Y6</f>
        <v>0</v>
      </c>
    </row>
    <row r="7" spans="1:27" ht="15" customHeight="1" x14ac:dyDescent="0.25">
      <c r="B7" s="124" t="s">
        <v>425</v>
      </c>
      <c r="C7" s="217">
        <v>0</v>
      </c>
      <c r="D7" s="217">
        <v>0</v>
      </c>
      <c r="E7" s="217">
        <v>0</v>
      </c>
      <c r="F7" s="217">
        <v>0</v>
      </c>
      <c r="G7" s="217">
        <v>0</v>
      </c>
      <c r="H7" s="218">
        <v>0</v>
      </c>
      <c r="I7" s="248">
        <f t="shared" ref="I7:I14" si="0">SUM(C7:H7)</f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8">
        <v>0</v>
      </c>
      <c r="Q7" s="248">
        <f t="shared" ref="Q7:Q15" si="1">SUM(K7:P7)</f>
        <v>0</v>
      </c>
      <c r="S7" s="217">
        <v>0</v>
      </c>
      <c r="T7" s="217">
        <v>0</v>
      </c>
      <c r="U7" s="217">
        <v>0</v>
      </c>
      <c r="V7" s="217">
        <v>0</v>
      </c>
      <c r="W7" s="217">
        <v>0</v>
      </c>
      <c r="X7" s="218">
        <v>0</v>
      </c>
      <c r="Y7" s="248">
        <f t="shared" ref="Y7:Y15" si="2">SUM(S7:X7)</f>
        <v>0</v>
      </c>
      <c r="AA7" s="248">
        <f>I7+Q7+Y7</f>
        <v>0</v>
      </c>
    </row>
    <row r="8" spans="1:27" ht="15" customHeight="1" x14ac:dyDescent="0.25">
      <c r="A8" s="127">
        <f>'YSM-YM Clinical Plan'!$B$39</f>
        <v>0.23080000000000001</v>
      </c>
      <c r="B8" s="124" t="s">
        <v>445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8">
        <v>0</v>
      </c>
      <c r="I8" s="248">
        <f t="shared" si="0"/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8">
        <v>0</v>
      </c>
      <c r="Q8" s="248">
        <f t="shared" si="1"/>
        <v>0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8">
        <v>0</v>
      </c>
      <c r="Y8" s="248">
        <f t="shared" si="2"/>
        <v>0</v>
      </c>
      <c r="AA8" s="248">
        <f t="shared" ref="AA8:AA15" si="3">I8+Q8+Y8</f>
        <v>0</v>
      </c>
    </row>
    <row r="9" spans="1:27" ht="15" customHeight="1" x14ac:dyDescent="0.25">
      <c r="A9" s="127">
        <v>0.12</v>
      </c>
      <c r="B9" s="124" t="s">
        <v>533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8">
        <v>0</v>
      </c>
      <c r="I9" s="248">
        <f t="shared" si="0"/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8">
        <v>0</v>
      </c>
      <c r="Q9" s="248">
        <f t="shared" si="1"/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8">
        <v>0</v>
      </c>
      <c r="Y9" s="248">
        <f t="shared" si="2"/>
        <v>0</v>
      </c>
      <c r="AA9" s="248">
        <f t="shared" si="3"/>
        <v>0</v>
      </c>
    </row>
    <row r="10" spans="1:27" ht="15" customHeight="1" x14ac:dyDescent="0.25">
      <c r="A10" s="127"/>
      <c r="B10" s="124" t="s">
        <v>534</v>
      </c>
      <c r="C10" s="217">
        <v>0</v>
      </c>
      <c r="D10" s="217">
        <v>0</v>
      </c>
      <c r="E10" s="217">
        <v>0</v>
      </c>
      <c r="F10" s="217">
        <v>0</v>
      </c>
      <c r="G10" s="217">
        <v>0</v>
      </c>
      <c r="H10" s="218">
        <v>0</v>
      </c>
      <c r="I10" s="248">
        <f t="shared" si="0"/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8">
        <v>0</v>
      </c>
      <c r="Q10" s="248">
        <f t="shared" si="1"/>
        <v>0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8">
        <v>0</v>
      </c>
      <c r="Y10" s="248">
        <f t="shared" si="2"/>
        <v>0</v>
      </c>
      <c r="AA10" s="248">
        <f t="shared" si="3"/>
        <v>0</v>
      </c>
    </row>
    <row r="11" spans="1:27" ht="15" customHeight="1" x14ac:dyDescent="0.25">
      <c r="A11" s="127"/>
      <c r="B11" s="124" t="s">
        <v>535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8">
        <v>0</v>
      </c>
      <c r="I11" s="248">
        <f t="shared" si="0"/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8">
        <v>0</v>
      </c>
      <c r="Q11" s="248">
        <f t="shared" si="1"/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8">
        <v>0</v>
      </c>
      <c r="Y11" s="248">
        <f t="shared" si="2"/>
        <v>0</v>
      </c>
      <c r="AA11" s="248">
        <f t="shared" si="3"/>
        <v>0</v>
      </c>
    </row>
    <row r="12" spans="1:27" ht="15" customHeight="1" x14ac:dyDescent="0.25">
      <c r="A12" s="127">
        <f>'YSM-YM Clinical Plan'!$B$36</f>
        <v>0.11700000000000001</v>
      </c>
      <c r="B12" s="124" t="s">
        <v>536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8">
        <v>0</v>
      </c>
      <c r="I12" s="248">
        <f t="shared" si="0"/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8">
        <v>0</v>
      </c>
      <c r="Q12" s="248">
        <f t="shared" si="1"/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8">
        <v>0</v>
      </c>
      <c r="Y12" s="248">
        <f t="shared" si="2"/>
        <v>0</v>
      </c>
      <c r="AA12" s="248">
        <f t="shared" si="3"/>
        <v>0</v>
      </c>
    </row>
    <row r="13" spans="1:27" ht="15" customHeight="1" x14ac:dyDescent="0.25">
      <c r="B13" s="124" t="s">
        <v>537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8">
        <v>0</v>
      </c>
      <c r="I13" s="248">
        <f t="shared" si="0"/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18">
        <v>0</v>
      </c>
      <c r="Q13" s="248">
        <f t="shared" si="1"/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8">
        <v>0</v>
      </c>
      <c r="Y13" s="248">
        <f t="shared" si="2"/>
        <v>0</v>
      </c>
      <c r="AA13" s="248">
        <f t="shared" si="3"/>
        <v>0</v>
      </c>
    </row>
    <row r="14" spans="1:27" ht="15" customHeight="1" x14ac:dyDescent="0.25">
      <c r="B14" s="124" t="s">
        <v>538</v>
      </c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8">
        <v>0</v>
      </c>
      <c r="I14" s="248">
        <f t="shared" si="0"/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v>0</v>
      </c>
      <c r="P14" s="218">
        <v>0</v>
      </c>
      <c r="Q14" s="248">
        <f t="shared" si="1"/>
        <v>0</v>
      </c>
      <c r="S14" s="217">
        <v>0</v>
      </c>
      <c r="T14" s="217">
        <v>0</v>
      </c>
      <c r="U14" s="217">
        <v>0</v>
      </c>
      <c r="V14" s="217">
        <v>0</v>
      </c>
      <c r="W14" s="217">
        <v>0</v>
      </c>
      <c r="X14" s="218">
        <v>0</v>
      </c>
      <c r="Y14" s="248">
        <f t="shared" si="2"/>
        <v>0</v>
      </c>
      <c r="AA14" s="248">
        <f t="shared" si="3"/>
        <v>0</v>
      </c>
    </row>
    <row r="15" spans="1:27" ht="15" customHeight="1" x14ac:dyDescent="0.25">
      <c r="B15" s="128" t="s">
        <v>39</v>
      </c>
      <c r="C15" s="252">
        <f>SUM(C6:C14)</f>
        <v>0</v>
      </c>
      <c r="D15" s="252">
        <f t="shared" ref="D15:H15" si="4">SUM(D6:D14)</f>
        <v>0</v>
      </c>
      <c r="E15" s="252">
        <f t="shared" si="4"/>
        <v>0</v>
      </c>
      <c r="F15" s="252">
        <f t="shared" si="4"/>
        <v>0</v>
      </c>
      <c r="G15" s="252">
        <f t="shared" si="4"/>
        <v>0</v>
      </c>
      <c r="H15" s="252">
        <f t="shared" si="4"/>
        <v>0</v>
      </c>
      <c r="I15" s="249">
        <f>SUM(C15:H15)</f>
        <v>0</v>
      </c>
      <c r="K15" s="252">
        <f>SUM(K6:K14)</f>
        <v>0</v>
      </c>
      <c r="L15" s="252">
        <f t="shared" ref="L15:P15" si="5">SUM(L6:L14)</f>
        <v>0</v>
      </c>
      <c r="M15" s="252">
        <f t="shared" si="5"/>
        <v>0</v>
      </c>
      <c r="N15" s="252">
        <f t="shared" si="5"/>
        <v>0</v>
      </c>
      <c r="O15" s="252">
        <f t="shared" si="5"/>
        <v>0</v>
      </c>
      <c r="P15" s="252">
        <f t="shared" si="5"/>
        <v>0</v>
      </c>
      <c r="Q15" s="249">
        <f t="shared" si="1"/>
        <v>0</v>
      </c>
      <c r="S15" s="252">
        <f>SUM(S6:S14)</f>
        <v>0</v>
      </c>
      <c r="T15" s="252">
        <f t="shared" ref="T15:X15" si="6">SUM(T6:T14)</f>
        <v>0</v>
      </c>
      <c r="U15" s="252">
        <f t="shared" si="6"/>
        <v>0</v>
      </c>
      <c r="V15" s="252">
        <f t="shared" si="6"/>
        <v>0</v>
      </c>
      <c r="W15" s="252">
        <f t="shared" si="6"/>
        <v>0</v>
      </c>
      <c r="X15" s="252">
        <f t="shared" si="6"/>
        <v>0</v>
      </c>
      <c r="Y15" s="249">
        <f t="shared" si="2"/>
        <v>0</v>
      </c>
      <c r="AA15" s="249">
        <f t="shared" si="3"/>
        <v>0</v>
      </c>
    </row>
    <row r="16" spans="1:27" ht="15" customHeight="1" x14ac:dyDescent="0.25">
      <c r="C16" s="125"/>
      <c r="D16" s="125"/>
      <c r="E16" s="125"/>
      <c r="F16" s="125"/>
      <c r="G16" s="125"/>
      <c r="H16" s="126"/>
      <c r="I16" s="248"/>
      <c r="K16" s="125"/>
      <c r="L16" s="125"/>
      <c r="M16" s="125"/>
      <c r="N16" s="125"/>
      <c r="O16" s="125"/>
      <c r="P16" s="126"/>
      <c r="Q16" s="248"/>
      <c r="S16" s="125"/>
      <c r="T16" s="125"/>
      <c r="U16" s="125"/>
      <c r="V16" s="125"/>
      <c r="W16" s="125"/>
      <c r="X16" s="126"/>
      <c r="Y16" s="248"/>
      <c r="AA16" s="248"/>
    </row>
    <row r="17" spans="1:27" ht="15" customHeight="1" x14ac:dyDescent="0.25">
      <c r="B17" s="119" t="s">
        <v>539</v>
      </c>
      <c r="C17" s="125"/>
      <c r="D17" s="125"/>
      <c r="E17" s="125"/>
      <c r="F17" s="125"/>
      <c r="G17" s="125"/>
      <c r="H17" s="126"/>
      <c r="I17" s="248"/>
      <c r="K17" s="125"/>
      <c r="L17" s="125"/>
      <c r="M17" s="125"/>
      <c r="N17" s="125"/>
      <c r="O17" s="125"/>
      <c r="P17" s="126"/>
      <c r="Q17" s="248"/>
      <c r="S17" s="125"/>
      <c r="T17" s="125"/>
      <c r="U17" s="125"/>
      <c r="V17" s="125"/>
      <c r="W17" s="125"/>
      <c r="X17" s="126"/>
      <c r="Y17" s="248"/>
      <c r="AA17" s="248"/>
    </row>
    <row r="18" spans="1:27" x14ac:dyDescent="0.25">
      <c r="B18" s="124" t="s">
        <v>540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8">
        <v>0</v>
      </c>
      <c r="I18" s="244">
        <f t="shared" ref="I18:I22" si="7">SUM(C18:H18)</f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8">
        <v>0</v>
      </c>
      <c r="Q18" s="244">
        <f t="shared" ref="Q18:Q22" si="8">SUM(K18:P18)</f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8">
        <v>0</v>
      </c>
      <c r="Y18" s="244">
        <f t="shared" ref="Y18:Y22" si="9">SUM(S18:X18)</f>
        <v>0</v>
      </c>
      <c r="AA18" s="244">
        <f t="shared" ref="AA18:AA19" si="10">I18+Q18+Y18</f>
        <v>0</v>
      </c>
    </row>
    <row r="19" spans="1:27" x14ac:dyDescent="0.25">
      <c r="A19" s="129" t="s">
        <v>541</v>
      </c>
      <c r="B19" s="124" t="s">
        <v>542</v>
      </c>
      <c r="C19" s="219" t="s">
        <v>543</v>
      </c>
      <c r="D19" s="220">
        <v>0</v>
      </c>
      <c r="E19" s="220">
        <v>0</v>
      </c>
      <c r="F19" s="220">
        <v>0</v>
      </c>
      <c r="G19" s="220">
        <v>0</v>
      </c>
      <c r="H19" s="220">
        <v>0</v>
      </c>
      <c r="I19" s="244">
        <f t="shared" si="7"/>
        <v>0</v>
      </c>
      <c r="K19" s="219" t="s">
        <v>543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44">
        <f t="shared" si="8"/>
        <v>0</v>
      </c>
      <c r="S19" s="219" t="s">
        <v>543</v>
      </c>
      <c r="T19" s="220">
        <v>0</v>
      </c>
      <c r="U19" s="220">
        <v>0</v>
      </c>
      <c r="V19" s="220">
        <v>0</v>
      </c>
      <c r="W19" s="220">
        <v>0</v>
      </c>
      <c r="X19" s="220">
        <v>0</v>
      </c>
      <c r="Y19" s="244">
        <f t="shared" si="9"/>
        <v>0</v>
      </c>
      <c r="AA19" s="244">
        <f t="shared" si="10"/>
        <v>0</v>
      </c>
    </row>
    <row r="20" spans="1:27" x14ac:dyDescent="0.25">
      <c r="A20" s="131"/>
      <c r="B20" s="124" t="s">
        <v>544</v>
      </c>
      <c r="C20" s="224">
        <f>Assumptions!$D$8</f>
        <v>0.307</v>
      </c>
      <c r="D20" s="224">
        <f>Assumptions!$D$6</f>
        <v>0.315</v>
      </c>
      <c r="E20" s="224">
        <f>Assumptions!$D$6</f>
        <v>0.315</v>
      </c>
      <c r="F20" s="224">
        <f>Assumptions!$D$6</f>
        <v>0.315</v>
      </c>
      <c r="G20" s="224">
        <f>Assumptions!$D$8</f>
        <v>0.307</v>
      </c>
      <c r="H20" s="224">
        <f>Assumptions!$D$6</f>
        <v>0.315</v>
      </c>
      <c r="I20" s="244"/>
      <c r="K20" s="224">
        <f>Assumptions!$D$8</f>
        <v>0.307</v>
      </c>
      <c r="L20" s="224">
        <f>Assumptions!$D$6</f>
        <v>0.315</v>
      </c>
      <c r="M20" s="224">
        <f>Assumptions!$D$6</f>
        <v>0.315</v>
      </c>
      <c r="N20" s="224">
        <f>Assumptions!$D$6</f>
        <v>0.315</v>
      </c>
      <c r="O20" s="224">
        <f>Assumptions!$D$8</f>
        <v>0.307</v>
      </c>
      <c r="P20" s="224">
        <f>Assumptions!$D$6</f>
        <v>0.315</v>
      </c>
      <c r="Q20" s="244"/>
      <c r="S20" s="224">
        <f>Assumptions!$D$8</f>
        <v>0.307</v>
      </c>
      <c r="T20" s="224">
        <f>Assumptions!$D$6</f>
        <v>0.315</v>
      </c>
      <c r="U20" s="224">
        <f>Assumptions!$D$6</f>
        <v>0.315</v>
      </c>
      <c r="V20" s="224">
        <f>Assumptions!$D$6</f>
        <v>0.315</v>
      </c>
      <c r="W20" s="224">
        <f>Assumptions!$D$8</f>
        <v>0.307</v>
      </c>
      <c r="X20" s="224">
        <f>Assumptions!$D$6</f>
        <v>0.315</v>
      </c>
      <c r="Y20" s="244"/>
      <c r="AA20" s="244"/>
    </row>
    <row r="21" spans="1:27" ht="17.25" x14ac:dyDescent="0.4">
      <c r="B21" s="124" t="s">
        <v>545</v>
      </c>
      <c r="C21" s="221">
        <f>C18*C20</f>
        <v>0</v>
      </c>
      <c r="D21" s="221">
        <f t="shared" ref="D21:H21" si="11">(D18+D19)*D20</f>
        <v>0</v>
      </c>
      <c r="E21" s="221">
        <f t="shared" si="11"/>
        <v>0</v>
      </c>
      <c r="F21" s="221">
        <f t="shared" si="11"/>
        <v>0</v>
      </c>
      <c r="G21" s="221">
        <f t="shared" si="11"/>
        <v>0</v>
      </c>
      <c r="H21" s="221">
        <f t="shared" si="11"/>
        <v>0</v>
      </c>
      <c r="I21" s="250">
        <f t="shared" si="7"/>
        <v>0</v>
      </c>
      <c r="K21" s="221">
        <f>K18*K20</f>
        <v>0</v>
      </c>
      <c r="L21" s="221">
        <f t="shared" ref="L21:P21" si="12">(L18+L19)*L20</f>
        <v>0</v>
      </c>
      <c r="M21" s="221">
        <f t="shared" si="12"/>
        <v>0</v>
      </c>
      <c r="N21" s="221">
        <f t="shared" si="12"/>
        <v>0</v>
      </c>
      <c r="O21" s="221">
        <f t="shared" si="12"/>
        <v>0</v>
      </c>
      <c r="P21" s="221">
        <f t="shared" si="12"/>
        <v>0</v>
      </c>
      <c r="Q21" s="250">
        <f t="shared" si="8"/>
        <v>0</v>
      </c>
      <c r="S21" s="221">
        <f>S18*S20</f>
        <v>0</v>
      </c>
      <c r="T21" s="221">
        <f t="shared" ref="T21:X21" si="13">(T18+T19)*T20</f>
        <v>0</v>
      </c>
      <c r="U21" s="221">
        <f t="shared" si="13"/>
        <v>0</v>
      </c>
      <c r="V21" s="221">
        <f t="shared" si="13"/>
        <v>0</v>
      </c>
      <c r="W21" s="221">
        <f t="shared" si="13"/>
        <v>0</v>
      </c>
      <c r="X21" s="221">
        <f t="shared" si="13"/>
        <v>0</v>
      </c>
      <c r="Y21" s="250">
        <f t="shared" si="9"/>
        <v>0</v>
      </c>
      <c r="AA21" s="250">
        <f t="shared" ref="AA21:AA22" si="14">I21+Q21+Y21</f>
        <v>0</v>
      </c>
    </row>
    <row r="22" spans="1:27" x14ac:dyDescent="0.25">
      <c r="B22" s="124" t="s">
        <v>546</v>
      </c>
      <c r="C22" s="220">
        <f>C18+C21</f>
        <v>0</v>
      </c>
      <c r="D22" s="220">
        <f t="shared" ref="D22:H22" si="15">D18+D19+D21</f>
        <v>0</v>
      </c>
      <c r="E22" s="220">
        <f t="shared" si="15"/>
        <v>0</v>
      </c>
      <c r="F22" s="220">
        <f t="shared" si="15"/>
        <v>0</v>
      </c>
      <c r="G22" s="220">
        <f t="shared" si="15"/>
        <v>0</v>
      </c>
      <c r="H22" s="220">
        <f t="shared" si="15"/>
        <v>0</v>
      </c>
      <c r="I22" s="244">
        <f t="shared" si="7"/>
        <v>0</v>
      </c>
      <c r="K22" s="220">
        <f>K18+K21</f>
        <v>0</v>
      </c>
      <c r="L22" s="220">
        <f t="shared" ref="L22:P22" si="16">L18+L19+L21</f>
        <v>0</v>
      </c>
      <c r="M22" s="220">
        <f t="shared" si="16"/>
        <v>0</v>
      </c>
      <c r="N22" s="220">
        <f t="shared" si="16"/>
        <v>0</v>
      </c>
      <c r="O22" s="220">
        <f t="shared" si="16"/>
        <v>0</v>
      </c>
      <c r="P22" s="220">
        <f t="shared" si="16"/>
        <v>0</v>
      </c>
      <c r="Q22" s="244">
        <f t="shared" si="8"/>
        <v>0</v>
      </c>
      <c r="S22" s="220">
        <f>S18+S21</f>
        <v>0</v>
      </c>
      <c r="T22" s="220">
        <f t="shared" ref="T22:X22" si="17">T18+T19+T21</f>
        <v>0</v>
      </c>
      <c r="U22" s="220">
        <f t="shared" si="17"/>
        <v>0</v>
      </c>
      <c r="V22" s="220">
        <f t="shared" si="17"/>
        <v>0</v>
      </c>
      <c r="W22" s="220">
        <f t="shared" si="17"/>
        <v>0</v>
      </c>
      <c r="X22" s="220">
        <f t="shared" si="17"/>
        <v>0</v>
      </c>
      <c r="Y22" s="244">
        <f t="shared" si="9"/>
        <v>0</v>
      </c>
      <c r="AA22" s="244">
        <f t="shared" si="14"/>
        <v>0</v>
      </c>
    </row>
    <row r="23" spans="1:27" x14ac:dyDescent="0.25">
      <c r="B23" s="124"/>
      <c r="C23" s="220"/>
      <c r="D23" s="220"/>
      <c r="E23" s="220"/>
      <c r="F23" s="220"/>
      <c r="G23" s="220"/>
      <c r="H23" s="220"/>
      <c r="I23" s="244"/>
      <c r="K23" s="220"/>
      <c r="L23" s="220"/>
      <c r="M23" s="220"/>
      <c r="N23" s="220"/>
      <c r="O23" s="220"/>
      <c r="P23" s="220"/>
      <c r="Q23" s="244"/>
      <c r="S23" s="220"/>
      <c r="T23" s="220"/>
      <c r="U23" s="220"/>
      <c r="V23" s="220"/>
      <c r="W23" s="220"/>
      <c r="X23" s="220"/>
      <c r="Y23" s="244"/>
      <c r="AA23" s="244"/>
    </row>
    <row r="24" spans="1:27" x14ac:dyDescent="0.25">
      <c r="B24" s="124" t="s">
        <v>600</v>
      </c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8">
        <v>0</v>
      </c>
      <c r="I24" s="244">
        <f t="shared" ref="I24:I34" si="18">SUM(C24:H24)</f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  <c r="P24" s="218">
        <v>0</v>
      </c>
      <c r="Q24" s="244">
        <f t="shared" ref="Q24:Q34" si="19">SUM(K24:P24)</f>
        <v>0</v>
      </c>
      <c r="S24" s="217">
        <v>0</v>
      </c>
      <c r="T24" s="217">
        <v>0</v>
      </c>
      <c r="U24" s="217">
        <v>0</v>
      </c>
      <c r="V24" s="217">
        <v>0</v>
      </c>
      <c r="W24" s="217">
        <v>0</v>
      </c>
      <c r="X24" s="218">
        <v>0</v>
      </c>
      <c r="Y24" s="244">
        <f t="shared" ref="Y24:Y34" si="20">SUM(S24:X24)</f>
        <v>0</v>
      </c>
      <c r="AA24" s="244">
        <f t="shared" ref="AA24:AA34" si="21">I24+Q24+Y24</f>
        <v>0</v>
      </c>
    </row>
    <row r="25" spans="1:27" x14ac:dyDescent="0.25">
      <c r="B25" s="124" t="s">
        <v>601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8">
        <v>0</v>
      </c>
      <c r="I25" s="244">
        <f t="shared" si="18"/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8">
        <v>0</v>
      </c>
      <c r="Q25" s="244">
        <f>SUM(K25:P25)</f>
        <v>0</v>
      </c>
      <c r="S25" s="217">
        <v>0</v>
      </c>
      <c r="T25" s="217">
        <v>0</v>
      </c>
      <c r="U25" s="217">
        <v>0</v>
      </c>
      <c r="V25" s="217">
        <v>0</v>
      </c>
      <c r="W25" s="217">
        <v>0</v>
      </c>
      <c r="X25" s="218">
        <v>0</v>
      </c>
      <c r="Y25" s="244">
        <f t="shared" si="20"/>
        <v>0</v>
      </c>
      <c r="AA25" s="244">
        <f t="shared" si="21"/>
        <v>0</v>
      </c>
    </row>
    <row r="26" spans="1:27" x14ac:dyDescent="0.25">
      <c r="B26" s="124" t="s">
        <v>547</v>
      </c>
      <c r="C26" s="217">
        <v>0</v>
      </c>
      <c r="D26" s="217">
        <v>0</v>
      </c>
      <c r="E26" s="217">
        <v>0</v>
      </c>
      <c r="F26" s="217">
        <v>0</v>
      </c>
      <c r="G26" s="217">
        <v>0</v>
      </c>
      <c r="H26" s="218">
        <v>0</v>
      </c>
      <c r="I26" s="244">
        <f t="shared" si="18"/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  <c r="P26" s="218">
        <v>0</v>
      </c>
      <c r="Q26" s="244">
        <f t="shared" si="19"/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8">
        <v>0</v>
      </c>
      <c r="Y26" s="244">
        <f t="shared" si="20"/>
        <v>0</v>
      </c>
      <c r="AA26" s="244">
        <f t="shared" si="21"/>
        <v>0</v>
      </c>
    </row>
    <row r="27" spans="1:27" x14ac:dyDescent="0.25">
      <c r="B27" s="124" t="s">
        <v>548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8">
        <v>0</v>
      </c>
      <c r="I27" s="244">
        <f t="shared" si="18"/>
        <v>0</v>
      </c>
      <c r="K27" s="217">
        <v>0</v>
      </c>
      <c r="L27" s="217">
        <v>0</v>
      </c>
      <c r="M27" s="217">
        <v>0</v>
      </c>
      <c r="N27" s="217">
        <v>0</v>
      </c>
      <c r="O27" s="217">
        <v>0</v>
      </c>
      <c r="P27" s="218">
        <v>0</v>
      </c>
      <c r="Q27" s="244">
        <f t="shared" si="19"/>
        <v>0</v>
      </c>
      <c r="S27" s="217">
        <v>0</v>
      </c>
      <c r="T27" s="217">
        <v>0</v>
      </c>
      <c r="U27" s="217">
        <v>0</v>
      </c>
      <c r="V27" s="217">
        <v>0</v>
      </c>
      <c r="W27" s="217">
        <v>0</v>
      </c>
      <c r="X27" s="218">
        <v>0</v>
      </c>
      <c r="Y27" s="244">
        <f t="shared" si="20"/>
        <v>0</v>
      </c>
      <c r="AA27" s="244">
        <f t="shared" si="21"/>
        <v>0</v>
      </c>
    </row>
    <row r="28" spans="1:27" outlineLevel="1" x14ac:dyDescent="0.25">
      <c r="A28" s="132">
        <f>A8</f>
        <v>0.23080000000000001</v>
      </c>
      <c r="B28" s="133" t="s">
        <v>549</v>
      </c>
      <c r="C28" s="134">
        <f>$A8*C8</f>
        <v>0</v>
      </c>
      <c r="D28" s="134">
        <f t="shared" ref="D28:H28" si="22">$A8*D8</f>
        <v>0</v>
      </c>
      <c r="E28" s="134">
        <f t="shared" si="22"/>
        <v>0</v>
      </c>
      <c r="F28" s="134">
        <f t="shared" si="22"/>
        <v>0</v>
      </c>
      <c r="G28" s="134">
        <f t="shared" si="22"/>
        <v>0</v>
      </c>
      <c r="H28" s="134">
        <f t="shared" si="22"/>
        <v>0</v>
      </c>
      <c r="I28" s="244">
        <f t="shared" si="18"/>
        <v>0</v>
      </c>
      <c r="K28" s="134">
        <f>$A8*K8</f>
        <v>0</v>
      </c>
      <c r="L28" s="134">
        <f t="shared" ref="L28:P28" si="23">$A8*L8</f>
        <v>0</v>
      </c>
      <c r="M28" s="134">
        <f t="shared" si="23"/>
        <v>0</v>
      </c>
      <c r="N28" s="134">
        <f t="shared" si="23"/>
        <v>0</v>
      </c>
      <c r="O28" s="134">
        <f t="shared" si="23"/>
        <v>0</v>
      </c>
      <c r="P28" s="134">
        <f t="shared" si="23"/>
        <v>0</v>
      </c>
      <c r="Q28" s="244">
        <f t="shared" si="19"/>
        <v>0</v>
      </c>
      <c r="S28" s="222">
        <f>$A8*S8</f>
        <v>0</v>
      </c>
      <c r="T28" s="222">
        <f t="shared" ref="T28:X28" si="24">$A8*T8</f>
        <v>0</v>
      </c>
      <c r="U28" s="222">
        <f t="shared" si="24"/>
        <v>0</v>
      </c>
      <c r="V28" s="222">
        <f t="shared" si="24"/>
        <v>0</v>
      </c>
      <c r="W28" s="222">
        <f t="shared" si="24"/>
        <v>0</v>
      </c>
      <c r="X28" s="222">
        <f t="shared" si="24"/>
        <v>0</v>
      </c>
      <c r="Y28" s="244">
        <f t="shared" si="20"/>
        <v>0</v>
      </c>
      <c r="AA28" s="244">
        <f t="shared" si="21"/>
        <v>0</v>
      </c>
    </row>
    <row r="29" spans="1:27" outlineLevel="1" x14ac:dyDescent="0.25">
      <c r="A29" s="132">
        <f>A9</f>
        <v>0.12</v>
      </c>
      <c r="B29" s="133" t="s">
        <v>550</v>
      </c>
      <c r="C29" s="134">
        <f t="shared" ref="C29:H29" si="25">$A9*C9</f>
        <v>0</v>
      </c>
      <c r="D29" s="134">
        <f t="shared" si="25"/>
        <v>0</v>
      </c>
      <c r="E29" s="134">
        <f t="shared" si="25"/>
        <v>0</v>
      </c>
      <c r="F29" s="134">
        <f t="shared" si="25"/>
        <v>0</v>
      </c>
      <c r="G29" s="134">
        <f t="shared" si="25"/>
        <v>0</v>
      </c>
      <c r="H29" s="134">
        <f t="shared" si="25"/>
        <v>0</v>
      </c>
      <c r="I29" s="244">
        <f t="shared" si="18"/>
        <v>0</v>
      </c>
      <c r="K29" s="134">
        <f t="shared" ref="K29:P29" si="26">$A9*K9</f>
        <v>0</v>
      </c>
      <c r="L29" s="134">
        <f t="shared" si="26"/>
        <v>0</v>
      </c>
      <c r="M29" s="134">
        <f t="shared" si="26"/>
        <v>0</v>
      </c>
      <c r="N29" s="134">
        <f t="shared" si="26"/>
        <v>0</v>
      </c>
      <c r="O29" s="134">
        <f t="shared" si="26"/>
        <v>0</v>
      </c>
      <c r="P29" s="134">
        <f t="shared" si="26"/>
        <v>0</v>
      </c>
      <c r="Q29" s="244">
        <f t="shared" si="19"/>
        <v>0</v>
      </c>
      <c r="S29" s="222">
        <f t="shared" ref="S29:X29" si="27">$A9*S9</f>
        <v>0</v>
      </c>
      <c r="T29" s="222">
        <f t="shared" si="27"/>
        <v>0</v>
      </c>
      <c r="U29" s="222">
        <f t="shared" si="27"/>
        <v>0</v>
      </c>
      <c r="V29" s="222">
        <f t="shared" si="27"/>
        <v>0</v>
      </c>
      <c r="W29" s="222">
        <f t="shared" si="27"/>
        <v>0</v>
      </c>
      <c r="X29" s="222">
        <f t="shared" si="27"/>
        <v>0</v>
      </c>
      <c r="Y29" s="244">
        <f t="shared" si="20"/>
        <v>0</v>
      </c>
      <c r="AA29" s="244">
        <f t="shared" si="21"/>
        <v>0</v>
      </c>
    </row>
    <row r="30" spans="1:27" outlineLevel="1" x14ac:dyDescent="0.25">
      <c r="A30" s="132">
        <f>A12</f>
        <v>0.11700000000000001</v>
      </c>
      <c r="B30" s="133" t="s">
        <v>551</v>
      </c>
      <c r="C30" s="134">
        <f>$A12*C12</f>
        <v>0</v>
      </c>
      <c r="D30" s="134">
        <f t="shared" ref="D30:H30" si="28">$A12*D12</f>
        <v>0</v>
      </c>
      <c r="E30" s="134">
        <f t="shared" si="28"/>
        <v>0</v>
      </c>
      <c r="F30" s="134">
        <f t="shared" si="28"/>
        <v>0</v>
      </c>
      <c r="G30" s="134">
        <f t="shared" si="28"/>
        <v>0</v>
      </c>
      <c r="H30" s="134">
        <f t="shared" si="28"/>
        <v>0</v>
      </c>
      <c r="I30" s="244">
        <f t="shared" si="18"/>
        <v>0</v>
      </c>
      <c r="K30" s="134">
        <f>$A12*K12</f>
        <v>0</v>
      </c>
      <c r="L30" s="134">
        <f t="shared" ref="L30:P30" si="29">$A12*L12</f>
        <v>0</v>
      </c>
      <c r="M30" s="134">
        <f t="shared" si="29"/>
        <v>0</v>
      </c>
      <c r="N30" s="134">
        <f t="shared" si="29"/>
        <v>0</v>
      </c>
      <c r="O30" s="134">
        <f t="shared" si="29"/>
        <v>0</v>
      </c>
      <c r="P30" s="134">
        <f t="shared" si="29"/>
        <v>0</v>
      </c>
      <c r="Q30" s="244">
        <f t="shared" si="19"/>
        <v>0</v>
      </c>
      <c r="S30" s="222">
        <f>$A12*S12</f>
        <v>0</v>
      </c>
      <c r="T30" s="222">
        <f t="shared" ref="T30:X30" si="30">$A12*T12</f>
        <v>0</v>
      </c>
      <c r="U30" s="222">
        <f t="shared" si="30"/>
        <v>0</v>
      </c>
      <c r="V30" s="222">
        <f t="shared" si="30"/>
        <v>0</v>
      </c>
      <c r="W30" s="222">
        <f t="shared" si="30"/>
        <v>0</v>
      </c>
      <c r="X30" s="222">
        <f t="shared" si="30"/>
        <v>0</v>
      </c>
      <c r="Y30" s="244">
        <f t="shared" si="20"/>
        <v>0</v>
      </c>
      <c r="AA30" s="244">
        <f t="shared" si="21"/>
        <v>0</v>
      </c>
    </row>
    <row r="31" spans="1:27" outlineLevel="1" x14ac:dyDescent="0.25">
      <c r="A31" s="132">
        <f>Assumptions!$D$9-A32</f>
        <v>8.5999999999999993E-2</v>
      </c>
      <c r="B31" s="133" t="s">
        <v>552</v>
      </c>
      <c r="C31" s="225" t="s">
        <v>543</v>
      </c>
      <c r="D31" s="134">
        <f>$A31*(D$18+D$19)</f>
        <v>0</v>
      </c>
      <c r="E31" s="134">
        <f t="shared" ref="E31:H32" si="31">$A31*(E$18+E$19)</f>
        <v>0</v>
      </c>
      <c r="F31" s="134">
        <f t="shared" si="31"/>
        <v>0</v>
      </c>
      <c r="G31" s="225" t="s">
        <v>543</v>
      </c>
      <c r="H31" s="134">
        <f t="shared" si="31"/>
        <v>0</v>
      </c>
      <c r="I31" s="244">
        <f t="shared" si="18"/>
        <v>0</v>
      </c>
      <c r="K31" s="225" t="s">
        <v>543</v>
      </c>
      <c r="L31" s="134">
        <f>$A31*(L$18+L$19)</f>
        <v>0</v>
      </c>
      <c r="M31" s="134">
        <f t="shared" ref="M31:P32" si="32">$A31*(M$18+M$19)</f>
        <v>0</v>
      </c>
      <c r="N31" s="134">
        <f t="shared" si="32"/>
        <v>0</v>
      </c>
      <c r="O31" s="225" t="s">
        <v>543</v>
      </c>
      <c r="P31" s="134">
        <f t="shared" si="32"/>
        <v>0</v>
      </c>
      <c r="Q31" s="244">
        <f t="shared" si="19"/>
        <v>0</v>
      </c>
      <c r="S31" s="225" t="s">
        <v>543</v>
      </c>
      <c r="T31" s="222">
        <f>$A31*(T$18+T$19)</f>
        <v>0</v>
      </c>
      <c r="U31" s="222">
        <f t="shared" ref="U31:X32" si="33">$A31*(U$18+U$19)</f>
        <v>0</v>
      </c>
      <c r="V31" s="222">
        <f t="shared" si="33"/>
        <v>0</v>
      </c>
      <c r="W31" s="225" t="s">
        <v>543</v>
      </c>
      <c r="X31" s="222">
        <f t="shared" si="33"/>
        <v>0</v>
      </c>
      <c r="Y31" s="244">
        <f t="shared" si="20"/>
        <v>0</v>
      </c>
      <c r="AA31" s="244">
        <f t="shared" si="21"/>
        <v>0</v>
      </c>
    </row>
    <row r="32" spans="1:27" outlineLevel="1" x14ac:dyDescent="0.25">
      <c r="A32" s="132">
        <v>0.03</v>
      </c>
      <c r="B32" s="133" t="s">
        <v>553</v>
      </c>
      <c r="C32" s="225" t="s">
        <v>543</v>
      </c>
      <c r="D32" s="134">
        <f>$A32*(D$18+D$19)</f>
        <v>0</v>
      </c>
      <c r="E32" s="134">
        <f t="shared" si="31"/>
        <v>0</v>
      </c>
      <c r="F32" s="134">
        <f t="shared" si="31"/>
        <v>0</v>
      </c>
      <c r="G32" s="225" t="s">
        <v>543</v>
      </c>
      <c r="H32" s="134">
        <f t="shared" si="31"/>
        <v>0</v>
      </c>
      <c r="I32" s="244">
        <f t="shared" si="18"/>
        <v>0</v>
      </c>
      <c r="K32" s="225" t="s">
        <v>543</v>
      </c>
      <c r="L32" s="134">
        <f>$A32*(L$18+L$19)</f>
        <v>0</v>
      </c>
      <c r="M32" s="134">
        <f t="shared" si="32"/>
        <v>0</v>
      </c>
      <c r="N32" s="134">
        <f t="shared" si="32"/>
        <v>0</v>
      </c>
      <c r="O32" s="225" t="s">
        <v>543</v>
      </c>
      <c r="P32" s="134">
        <f t="shared" si="32"/>
        <v>0</v>
      </c>
      <c r="Q32" s="244">
        <f t="shared" si="19"/>
        <v>0</v>
      </c>
      <c r="S32" s="225" t="s">
        <v>543</v>
      </c>
      <c r="T32" s="222">
        <f>$A32*(T$18+T$19)</f>
        <v>0</v>
      </c>
      <c r="U32" s="222">
        <f t="shared" si="33"/>
        <v>0</v>
      </c>
      <c r="V32" s="222">
        <f t="shared" si="33"/>
        <v>0</v>
      </c>
      <c r="W32" s="225" t="s">
        <v>543</v>
      </c>
      <c r="X32" s="222">
        <f t="shared" si="33"/>
        <v>0</v>
      </c>
      <c r="Y32" s="244">
        <f t="shared" si="20"/>
        <v>0</v>
      </c>
      <c r="AA32" s="244">
        <f t="shared" si="21"/>
        <v>0</v>
      </c>
    </row>
    <row r="33" spans="1:27" x14ac:dyDescent="0.25">
      <c r="B33" s="124" t="s">
        <v>554</v>
      </c>
      <c r="C33" s="220">
        <f>SUM(C28:C32)</f>
        <v>0</v>
      </c>
      <c r="D33" s="220">
        <f t="shared" ref="D33:H33" si="34">SUM(D28:D32)</f>
        <v>0</v>
      </c>
      <c r="E33" s="220">
        <f t="shared" si="34"/>
        <v>0</v>
      </c>
      <c r="F33" s="220">
        <f t="shared" si="34"/>
        <v>0</v>
      </c>
      <c r="G33" s="220">
        <f t="shared" si="34"/>
        <v>0</v>
      </c>
      <c r="H33" s="220">
        <f t="shared" si="34"/>
        <v>0</v>
      </c>
      <c r="I33" s="244">
        <f t="shared" si="18"/>
        <v>0</v>
      </c>
      <c r="K33" s="220">
        <f t="shared" ref="K33:P33" si="35">SUM(K28:K32)</f>
        <v>0</v>
      </c>
      <c r="L33" s="220">
        <f t="shared" si="35"/>
        <v>0</v>
      </c>
      <c r="M33" s="220">
        <f t="shared" si="35"/>
        <v>0</v>
      </c>
      <c r="N33" s="220">
        <f t="shared" si="35"/>
        <v>0</v>
      </c>
      <c r="O33" s="220">
        <f t="shared" si="35"/>
        <v>0</v>
      </c>
      <c r="P33" s="220">
        <f t="shared" si="35"/>
        <v>0</v>
      </c>
      <c r="Q33" s="244">
        <f t="shared" si="19"/>
        <v>0</v>
      </c>
      <c r="S33" s="220">
        <f t="shared" ref="S33:X33" si="36">SUM(S28:S32)</f>
        <v>0</v>
      </c>
      <c r="T33" s="220">
        <f t="shared" si="36"/>
        <v>0</v>
      </c>
      <c r="U33" s="220">
        <f t="shared" si="36"/>
        <v>0</v>
      </c>
      <c r="V33" s="220">
        <f t="shared" si="36"/>
        <v>0</v>
      </c>
      <c r="W33" s="220">
        <f t="shared" si="36"/>
        <v>0</v>
      </c>
      <c r="X33" s="220">
        <f t="shared" si="36"/>
        <v>0</v>
      </c>
      <c r="Y33" s="244">
        <f t="shared" si="20"/>
        <v>0</v>
      </c>
      <c r="AA33" s="244">
        <f t="shared" si="21"/>
        <v>0</v>
      </c>
    </row>
    <row r="34" spans="1:27" s="245" customFormat="1" x14ac:dyDescent="0.25">
      <c r="A34" s="117"/>
      <c r="B34" s="242" t="s">
        <v>425</v>
      </c>
      <c r="C34" s="243">
        <f>C7</f>
        <v>0</v>
      </c>
      <c r="D34" s="243">
        <f t="shared" ref="D34:H34" si="37">D7</f>
        <v>0</v>
      </c>
      <c r="E34" s="243">
        <f t="shared" si="37"/>
        <v>0</v>
      </c>
      <c r="F34" s="243">
        <f t="shared" si="37"/>
        <v>0</v>
      </c>
      <c r="G34" s="243">
        <f t="shared" si="37"/>
        <v>0</v>
      </c>
      <c r="H34" s="243">
        <f t="shared" si="37"/>
        <v>0</v>
      </c>
      <c r="I34" s="244">
        <f t="shared" si="18"/>
        <v>0</v>
      </c>
      <c r="J34" s="117"/>
      <c r="K34" s="243">
        <f>K7</f>
        <v>0</v>
      </c>
      <c r="L34" s="243">
        <f t="shared" ref="L34:P34" si="38">L7</f>
        <v>0</v>
      </c>
      <c r="M34" s="243">
        <f t="shared" si="38"/>
        <v>0</v>
      </c>
      <c r="N34" s="243">
        <f t="shared" si="38"/>
        <v>0</v>
      </c>
      <c r="O34" s="243">
        <f t="shared" si="38"/>
        <v>0</v>
      </c>
      <c r="P34" s="243">
        <f t="shared" si="38"/>
        <v>0</v>
      </c>
      <c r="Q34" s="244">
        <f t="shared" si="19"/>
        <v>0</v>
      </c>
      <c r="R34" s="117"/>
      <c r="S34" s="243">
        <f>S7</f>
        <v>0</v>
      </c>
      <c r="T34" s="243">
        <f t="shared" ref="T34:X34" si="39">T7</f>
        <v>0</v>
      </c>
      <c r="U34" s="243">
        <f t="shared" si="39"/>
        <v>0</v>
      </c>
      <c r="V34" s="243">
        <f t="shared" si="39"/>
        <v>0</v>
      </c>
      <c r="W34" s="243">
        <f t="shared" si="39"/>
        <v>0</v>
      </c>
      <c r="X34" s="243">
        <f t="shared" si="39"/>
        <v>0</v>
      </c>
      <c r="Y34" s="244">
        <f t="shared" si="20"/>
        <v>0</v>
      </c>
      <c r="AA34" s="244">
        <f t="shared" si="21"/>
        <v>0</v>
      </c>
    </row>
    <row r="35" spans="1:27" x14ac:dyDescent="0.25">
      <c r="B35" s="124"/>
      <c r="C35" s="220"/>
      <c r="D35" s="220"/>
      <c r="E35" s="220"/>
      <c r="F35" s="220"/>
      <c r="G35" s="220"/>
      <c r="H35" s="220"/>
      <c r="I35" s="244"/>
      <c r="K35" s="130"/>
      <c r="L35" s="130"/>
      <c r="M35" s="130"/>
      <c r="N35" s="130"/>
      <c r="O35" s="130"/>
      <c r="P35" s="130"/>
      <c r="Q35" s="244"/>
      <c r="S35" s="220"/>
      <c r="T35" s="220"/>
      <c r="U35" s="220"/>
      <c r="V35" s="220"/>
      <c r="W35" s="220"/>
      <c r="X35" s="220"/>
      <c r="Y35" s="244"/>
      <c r="AA35" s="244"/>
    </row>
    <row r="36" spans="1:27" x14ac:dyDescent="0.25">
      <c r="B36" s="128" t="s">
        <v>41</v>
      </c>
      <c r="C36" s="251">
        <f>SUM(C22:C32)+C34</f>
        <v>0</v>
      </c>
      <c r="D36" s="251">
        <f t="shared" ref="D36:I36" si="40">SUM(D22:D32)+D34</f>
        <v>0</v>
      </c>
      <c r="E36" s="251">
        <f t="shared" si="40"/>
        <v>0</v>
      </c>
      <c r="F36" s="251">
        <f t="shared" si="40"/>
        <v>0</v>
      </c>
      <c r="G36" s="251">
        <f t="shared" si="40"/>
        <v>0</v>
      </c>
      <c r="H36" s="251">
        <f t="shared" si="40"/>
        <v>0</v>
      </c>
      <c r="I36" s="251">
        <f t="shared" si="40"/>
        <v>0</v>
      </c>
      <c r="K36" s="251">
        <f>SUM(K22:K32)+K34</f>
        <v>0</v>
      </c>
      <c r="L36" s="251">
        <f t="shared" ref="L36:Q36" si="41">SUM(L22:L32)+L34</f>
        <v>0</v>
      </c>
      <c r="M36" s="251">
        <f t="shared" si="41"/>
        <v>0</v>
      </c>
      <c r="N36" s="251">
        <f t="shared" si="41"/>
        <v>0</v>
      </c>
      <c r="O36" s="251">
        <f t="shared" si="41"/>
        <v>0</v>
      </c>
      <c r="P36" s="251">
        <f t="shared" si="41"/>
        <v>0</v>
      </c>
      <c r="Q36" s="251">
        <f t="shared" si="41"/>
        <v>0</v>
      </c>
      <c r="S36" s="251">
        <f>SUM(S22:S32)+S34</f>
        <v>0</v>
      </c>
      <c r="T36" s="251">
        <f t="shared" ref="T36:Y36" si="42">SUM(T22:T32)+T34</f>
        <v>0</v>
      </c>
      <c r="U36" s="251">
        <f t="shared" si="42"/>
        <v>0</v>
      </c>
      <c r="V36" s="251">
        <f t="shared" si="42"/>
        <v>0</v>
      </c>
      <c r="W36" s="251">
        <f t="shared" si="42"/>
        <v>0</v>
      </c>
      <c r="X36" s="251">
        <f t="shared" si="42"/>
        <v>0</v>
      </c>
      <c r="Y36" s="251">
        <f t="shared" si="42"/>
        <v>0</v>
      </c>
      <c r="AA36" s="251">
        <f>I36+Q36+Y36</f>
        <v>0</v>
      </c>
    </row>
    <row r="37" spans="1:27" x14ac:dyDescent="0.25">
      <c r="Q37" s="117"/>
      <c r="Y37" s="117"/>
      <c r="AA37" s="117"/>
    </row>
    <row r="38" spans="1:27" x14ac:dyDescent="0.25">
      <c r="B38" s="128" t="s">
        <v>460</v>
      </c>
      <c r="C38" s="251">
        <f>C15-C36</f>
        <v>0</v>
      </c>
      <c r="D38" s="251">
        <f t="shared" ref="D38:H38" si="43">D15-D36</f>
        <v>0</v>
      </c>
      <c r="E38" s="251">
        <f t="shared" si="43"/>
        <v>0</v>
      </c>
      <c r="F38" s="251">
        <f t="shared" si="43"/>
        <v>0</v>
      </c>
      <c r="G38" s="251">
        <f t="shared" si="43"/>
        <v>0</v>
      </c>
      <c r="H38" s="251">
        <f t="shared" si="43"/>
        <v>0</v>
      </c>
      <c r="I38" s="251">
        <f t="shared" ref="I38" si="44">SUM(C38:H38)</f>
        <v>0</v>
      </c>
      <c r="K38" s="251">
        <f>K15-K36</f>
        <v>0</v>
      </c>
      <c r="L38" s="251">
        <f t="shared" ref="L38:P38" si="45">L15-L36</f>
        <v>0</v>
      </c>
      <c r="M38" s="251">
        <f t="shared" si="45"/>
        <v>0</v>
      </c>
      <c r="N38" s="251">
        <f t="shared" si="45"/>
        <v>0</v>
      </c>
      <c r="O38" s="251">
        <f t="shared" si="45"/>
        <v>0</v>
      </c>
      <c r="P38" s="251">
        <f t="shared" si="45"/>
        <v>0</v>
      </c>
      <c r="Q38" s="251">
        <f t="shared" ref="Q38" si="46">SUM(K38:P38)</f>
        <v>0</v>
      </c>
      <c r="S38" s="251">
        <f>S15-S36</f>
        <v>0</v>
      </c>
      <c r="T38" s="251">
        <f t="shared" ref="T38:X38" si="47">T15-T36</f>
        <v>0</v>
      </c>
      <c r="U38" s="251">
        <f t="shared" si="47"/>
        <v>0</v>
      </c>
      <c r="V38" s="251">
        <f t="shared" si="47"/>
        <v>0</v>
      </c>
      <c r="W38" s="251">
        <f t="shared" si="47"/>
        <v>0</v>
      </c>
      <c r="X38" s="251">
        <f t="shared" si="47"/>
        <v>0</v>
      </c>
      <c r="Y38" s="251">
        <f t="shared" ref="Y38" si="48">SUM(S38:X38)</f>
        <v>0</v>
      </c>
      <c r="AA38" s="251">
        <f>I38+Q38+Y38</f>
        <v>0</v>
      </c>
    </row>
    <row r="40" spans="1:27" x14ac:dyDescent="0.25">
      <c r="C40" s="119" t="s">
        <v>555</v>
      </c>
    </row>
    <row r="41" spans="1:27" ht="45" customHeight="1" x14ac:dyDescent="0.25">
      <c r="C41" s="622" t="s">
        <v>556</v>
      </c>
      <c r="D41" s="623"/>
      <c r="E41" s="623"/>
      <c r="F41" s="623"/>
      <c r="G41" s="623"/>
      <c r="H41" s="623"/>
      <c r="I41" s="624"/>
    </row>
    <row r="42" spans="1:27" ht="45" customHeight="1" x14ac:dyDescent="0.25">
      <c r="C42" s="622" t="s">
        <v>557</v>
      </c>
      <c r="D42" s="623"/>
      <c r="E42" s="623"/>
      <c r="F42" s="623"/>
      <c r="G42" s="623"/>
      <c r="H42" s="623"/>
      <c r="I42" s="624"/>
    </row>
  </sheetData>
  <sheetProtection algorithmName="SHA-512" hashValue="1rN2tgf+UJgmW6cHERgS4zucvM76vybafJSelRuZk304l1XDQoNYB2rYyr4GnaNGAJhA9D8OYU6iFo26p+Lz6Q==" saltValue="Ii+WV+84hIMI0Qr57vP1hQ==" spinCount="100000" sheet="1" objects="1" scenarios="1"/>
  <mergeCells count="5">
    <mergeCell ref="C3:I3"/>
    <mergeCell ref="K3:Q3"/>
    <mergeCell ref="S3:Y3"/>
    <mergeCell ref="C41:I41"/>
    <mergeCell ref="C42:I42"/>
  </mergeCells>
  <dataValidations count="1">
    <dataValidation type="list" allowBlank="1" showInputMessage="1" showErrorMessage="1" sqref="A9" xr:uid="{0F186D16-F3F6-4CBF-A452-5B1DDF9B31BC}">
      <formula1>".12,.403"</formula1>
    </dataValidation>
  </dataValidations>
  <hyperlinks>
    <hyperlink ref="A19" r:id="rId1" xr:uid="{96A38EBD-F85A-48E4-8066-CAAF78CFF35D}"/>
  </hyperlinks>
  <pageMargins left="0.7" right="0.7" top="0.75" bottom="0.75" header="0.3" footer="0.3"/>
  <pageSetup scale="34" orientation="landscape" horizontalDpi="4294967293" vertic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E2F99-4120-409C-9467-DC2532B7C4EE}">
  <sheetPr>
    <tabColor theme="5" tint="-0.249977111117893"/>
    <pageSetUpPr fitToPage="1"/>
  </sheetPr>
  <dimension ref="A1:T23"/>
  <sheetViews>
    <sheetView zoomScale="90" zoomScaleNormal="90" workbookViewId="0">
      <selection activeCell="A6" sqref="A6"/>
    </sheetView>
  </sheetViews>
  <sheetFormatPr defaultColWidth="9.140625" defaultRowHeight="15.75" x14ac:dyDescent="0.25"/>
  <cols>
    <col min="1" max="1" width="28.28515625" style="161" customWidth="1"/>
    <col min="2" max="2" width="14.85546875" style="161" customWidth="1"/>
    <col min="3" max="3" width="9.7109375" style="161" bestFit="1" customWidth="1"/>
    <col min="4" max="4" width="9.140625" style="161" customWidth="1"/>
    <col min="5" max="5" width="12" style="161" customWidth="1"/>
    <col min="6" max="6" width="13.28515625" style="161" customWidth="1"/>
    <col min="7" max="7" width="11.5703125" style="161" customWidth="1"/>
    <col min="8" max="9" width="11.140625" style="161" customWidth="1"/>
    <col min="10" max="10" width="10.5703125" style="161" customWidth="1"/>
    <col min="11" max="11" width="11" style="161" bestFit="1" customWidth="1"/>
    <col min="12" max="12" width="1.7109375" style="172" customWidth="1"/>
    <col min="13" max="14" width="10.85546875" style="161" customWidth="1"/>
    <col min="15" max="15" width="15.28515625" style="161" customWidth="1"/>
    <col min="16" max="17" width="9.140625" style="161" bestFit="1" customWidth="1"/>
    <col min="18" max="18" width="6.28515625" style="104" bestFit="1" customWidth="1"/>
    <col min="19" max="19" width="0" style="105" hidden="1" customWidth="1"/>
    <col min="20" max="20" width="9.85546875" style="104" bestFit="1" customWidth="1"/>
    <col min="21" max="16384" width="9.140625" style="104"/>
  </cols>
  <sheetData>
    <row r="1" spans="1:20" ht="42" customHeight="1" x14ac:dyDescent="0.2">
      <c r="A1" s="625" t="s">
        <v>558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</row>
    <row r="2" spans="1:20" ht="18" customHeight="1" x14ac:dyDescent="0.3">
      <c r="A2" s="626" t="s">
        <v>559</v>
      </c>
      <c r="B2" s="626"/>
      <c r="C2" s="626"/>
      <c r="D2" s="626"/>
      <c r="E2" s="626"/>
      <c r="F2" s="626"/>
      <c r="G2" s="626"/>
      <c r="H2" s="626"/>
      <c r="I2" s="135"/>
      <c r="J2" s="627">
        <f>Assumptions!$D$21</f>
        <v>212100</v>
      </c>
      <c r="K2" s="627"/>
      <c r="L2" s="136"/>
      <c r="M2" s="628" t="s">
        <v>560</v>
      </c>
      <c r="N2" s="628"/>
      <c r="O2" s="628"/>
      <c r="P2" s="628"/>
      <c r="Q2" s="628"/>
    </row>
    <row r="3" spans="1:20" ht="18.75" x14ac:dyDescent="0.3">
      <c r="A3" s="626" t="s">
        <v>561</v>
      </c>
      <c r="B3" s="626"/>
      <c r="C3" s="626"/>
      <c r="D3" s="626"/>
      <c r="E3" s="626"/>
      <c r="F3" s="626"/>
      <c r="G3" s="626"/>
      <c r="H3" s="626"/>
      <c r="I3" s="135"/>
      <c r="J3" s="627">
        <f>Assumptions!$D$18</f>
        <v>330000</v>
      </c>
      <c r="K3" s="627"/>
      <c r="L3" s="136"/>
      <c r="M3" s="628"/>
      <c r="N3" s="628"/>
      <c r="O3" s="628"/>
      <c r="P3" s="628"/>
      <c r="Q3" s="628"/>
    </row>
    <row r="4" spans="1:20" s="106" customFormat="1" ht="49.5" customHeight="1" x14ac:dyDescent="0.25">
      <c r="A4" s="137"/>
      <c r="B4" s="137" t="s">
        <v>562</v>
      </c>
      <c r="C4" s="137" t="s">
        <v>563</v>
      </c>
      <c r="D4" s="137" t="s">
        <v>564</v>
      </c>
      <c r="E4" s="137" t="s">
        <v>565</v>
      </c>
      <c r="F4" s="137" t="s">
        <v>566</v>
      </c>
      <c r="G4" s="137" t="s">
        <v>567</v>
      </c>
      <c r="H4" s="137" t="s">
        <v>568</v>
      </c>
      <c r="I4" s="137" t="s">
        <v>569</v>
      </c>
      <c r="J4" s="137" t="s">
        <v>570</v>
      </c>
      <c r="K4" s="137" t="s">
        <v>571</v>
      </c>
      <c r="L4" s="136"/>
      <c r="M4" s="137" t="s">
        <v>572</v>
      </c>
      <c r="N4" s="137" t="s">
        <v>573</v>
      </c>
      <c r="O4" s="138" t="s">
        <v>574</v>
      </c>
      <c r="P4" s="138" t="s">
        <v>575</v>
      </c>
      <c r="Q4" s="138" t="s">
        <v>576</v>
      </c>
      <c r="S4" s="107" t="s">
        <v>577</v>
      </c>
    </row>
    <row r="5" spans="1:20" s="106" customFormat="1" ht="41.25" x14ac:dyDescent="0.3">
      <c r="A5" s="139" t="s">
        <v>578</v>
      </c>
      <c r="B5" s="137" t="s">
        <v>579</v>
      </c>
      <c r="C5" s="137" t="s">
        <v>580</v>
      </c>
      <c r="D5" s="137" t="s">
        <v>581</v>
      </c>
      <c r="E5" s="137" t="s">
        <v>582</v>
      </c>
      <c r="F5" s="140" t="s">
        <v>583</v>
      </c>
      <c r="G5" s="140" t="s">
        <v>584</v>
      </c>
      <c r="H5" s="140" t="s">
        <v>585</v>
      </c>
      <c r="I5" s="137" t="s">
        <v>586</v>
      </c>
      <c r="J5" s="137" t="s">
        <v>587</v>
      </c>
      <c r="K5" s="137" t="s">
        <v>588</v>
      </c>
      <c r="L5" s="141"/>
      <c r="M5" s="142" t="s">
        <v>589</v>
      </c>
      <c r="N5" s="142" t="s">
        <v>590</v>
      </c>
      <c r="O5" s="142" t="s">
        <v>591</v>
      </c>
      <c r="P5" s="137" t="s">
        <v>26</v>
      </c>
      <c r="Q5" s="137" t="s">
        <v>592</v>
      </c>
      <c r="S5" s="107" t="s">
        <v>575</v>
      </c>
    </row>
    <row r="6" spans="1:20" s="111" customFormat="1" ht="15" x14ac:dyDescent="0.25">
      <c r="A6" s="143" t="s">
        <v>593</v>
      </c>
      <c r="B6" s="144">
        <v>0</v>
      </c>
      <c r="C6" s="145">
        <v>0</v>
      </c>
      <c r="D6" s="145"/>
      <c r="E6" s="146">
        <f t="shared" ref="E6:E15" si="0">B6*C6</f>
        <v>0</v>
      </c>
      <c r="F6" s="147">
        <f t="shared" ref="F6:F15" si="1">IF(D6="Y",$J$2*C6,E6-H6)</f>
        <v>0</v>
      </c>
      <c r="G6" s="147">
        <f t="shared" ref="G6:G15" si="2">IF(D6="y",E6-F6-H6,0)</f>
        <v>0</v>
      </c>
      <c r="H6" s="148">
        <f t="shared" ref="H6:H15" si="3">IF(B6&gt;=$J$3,((B6-$J$3)*(C6)),0)</f>
        <v>0</v>
      </c>
      <c r="I6" s="149">
        <f t="shared" ref="I6:I15" si="4">F6*$F$17</f>
        <v>0</v>
      </c>
      <c r="J6" s="150">
        <f t="shared" ref="J6:J15" si="5">(H6*$H$17)+(G6*$G$17)</f>
        <v>0</v>
      </c>
      <c r="K6" s="151">
        <f>G6+H6+J6</f>
        <v>0</v>
      </c>
      <c r="L6" s="152"/>
      <c r="M6" s="153">
        <f t="shared" ref="M6:M15" si="6">IFERROR(F6/B6,0)</f>
        <v>0</v>
      </c>
      <c r="N6" s="153">
        <f t="shared" ref="N6:N15" si="7">IFERROR(G6/B6,0)</f>
        <v>0</v>
      </c>
      <c r="O6" s="153">
        <f t="shared" ref="O6:O15" si="8">IFERROR(H6/B6,0)</f>
        <v>0</v>
      </c>
      <c r="P6" s="154">
        <f t="shared" ref="P6:P15" si="9">SUM(M6:O6)</f>
        <v>0</v>
      </c>
      <c r="Q6" s="154">
        <f t="shared" ref="Q6:Q15" si="10">C6-P6</f>
        <v>0</v>
      </c>
      <c r="R6" s="108"/>
      <c r="S6" s="109"/>
      <c r="T6" s="110"/>
    </row>
    <row r="7" spans="1:20" s="111" customFormat="1" ht="15" x14ac:dyDescent="0.25">
      <c r="A7" s="155"/>
      <c r="B7" s="144">
        <f>B6</f>
        <v>0</v>
      </c>
      <c r="C7" s="145">
        <v>0</v>
      </c>
      <c r="D7" s="145"/>
      <c r="E7" s="146">
        <f t="shared" si="0"/>
        <v>0</v>
      </c>
      <c r="F7" s="147">
        <f t="shared" si="1"/>
        <v>0</v>
      </c>
      <c r="G7" s="147">
        <f t="shared" si="2"/>
        <v>0</v>
      </c>
      <c r="H7" s="148">
        <f t="shared" si="3"/>
        <v>0</v>
      </c>
      <c r="I7" s="149">
        <f t="shared" si="4"/>
        <v>0</v>
      </c>
      <c r="J7" s="150">
        <f t="shared" si="5"/>
        <v>0</v>
      </c>
      <c r="K7" s="151">
        <f t="shared" ref="K7:K15" si="11">G7+H7+J7</f>
        <v>0</v>
      </c>
      <c r="L7" s="152"/>
      <c r="M7" s="153">
        <f t="shared" si="6"/>
        <v>0</v>
      </c>
      <c r="N7" s="153">
        <f t="shared" si="7"/>
        <v>0</v>
      </c>
      <c r="O7" s="153">
        <f t="shared" si="8"/>
        <v>0</v>
      </c>
      <c r="P7" s="154">
        <f t="shared" si="9"/>
        <v>0</v>
      </c>
      <c r="Q7" s="154">
        <f t="shared" si="10"/>
        <v>0</v>
      </c>
      <c r="R7" s="108"/>
      <c r="S7" s="109"/>
      <c r="T7" s="110"/>
    </row>
    <row r="8" spans="1:20" s="111" customFormat="1" ht="15" x14ac:dyDescent="0.25">
      <c r="A8" s="155"/>
      <c r="B8" s="144">
        <f t="shared" ref="B8:B15" si="12">B7</f>
        <v>0</v>
      </c>
      <c r="C8" s="145">
        <v>0</v>
      </c>
      <c r="D8" s="145"/>
      <c r="E8" s="146">
        <f t="shared" si="0"/>
        <v>0</v>
      </c>
      <c r="F8" s="147">
        <f t="shared" si="1"/>
        <v>0</v>
      </c>
      <c r="G8" s="147">
        <f t="shared" si="2"/>
        <v>0</v>
      </c>
      <c r="H8" s="148">
        <f t="shared" si="3"/>
        <v>0</v>
      </c>
      <c r="I8" s="149">
        <f t="shared" si="4"/>
        <v>0</v>
      </c>
      <c r="J8" s="150">
        <f t="shared" si="5"/>
        <v>0</v>
      </c>
      <c r="K8" s="151">
        <f t="shared" si="11"/>
        <v>0</v>
      </c>
      <c r="L8" s="152"/>
      <c r="M8" s="153">
        <f t="shared" si="6"/>
        <v>0</v>
      </c>
      <c r="N8" s="153">
        <f t="shared" si="7"/>
        <v>0</v>
      </c>
      <c r="O8" s="153">
        <f t="shared" si="8"/>
        <v>0</v>
      </c>
      <c r="P8" s="154">
        <f t="shared" si="9"/>
        <v>0</v>
      </c>
      <c r="Q8" s="154">
        <f t="shared" si="10"/>
        <v>0</v>
      </c>
      <c r="R8" s="108"/>
      <c r="S8" s="109"/>
      <c r="T8" s="110"/>
    </row>
    <row r="9" spans="1:20" s="111" customFormat="1" ht="15" x14ac:dyDescent="0.25">
      <c r="A9" s="155"/>
      <c r="B9" s="144">
        <f t="shared" si="12"/>
        <v>0</v>
      </c>
      <c r="C9" s="145">
        <v>0</v>
      </c>
      <c r="D9" s="145"/>
      <c r="E9" s="146">
        <f t="shared" si="0"/>
        <v>0</v>
      </c>
      <c r="F9" s="147">
        <f t="shared" si="1"/>
        <v>0</v>
      </c>
      <c r="G9" s="147">
        <f t="shared" si="2"/>
        <v>0</v>
      </c>
      <c r="H9" s="148">
        <f t="shared" si="3"/>
        <v>0</v>
      </c>
      <c r="I9" s="149">
        <f t="shared" si="4"/>
        <v>0</v>
      </c>
      <c r="J9" s="150">
        <f t="shared" si="5"/>
        <v>0</v>
      </c>
      <c r="K9" s="151">
        <f t="shared" si="11"/>
        <v>0</v>
      </c>
      <c r="L9" s="152"/>
      <c r="M9" s="153">
        <f t="shared" si="6"/>
        <v>0</v>
      </c>
      <c r="N9" s="153">
        <f t="shared" si="7"/>
        <v>0</v>
      </c>
      <c r="O9" s="153">
        <f t="shared" si="8"/>
        <v>0</v>
      </c>
      <c r="P9" s="154">
        <f t="shared" si="9"/>
        <v>0</v>
      </c>
      <c r="Q9" s="154">
        <f t="shared" si="10"/>
        <v>0</v>
      </c>
      <c r="R9" s="108"/>
      <c r="S9" s="109"/>
      <c r="T9" s="110"/>
    </row>
    <row r="10" spans="1:20" s="111" customFormat="1" ht="15" x14ac:dyDescent="0.25">
      <c r="A10" s="155"/>
      <c r="B10" s="144">
        <f t="shared" si="12"/>
        <v>0</v>
      </c>
      <c r="C10" s="145">
        <v>0</v>
      </c>
      <c r="D10" s="145"/>
      <c r="E10" s="146">
        <f t="shared" si="0"/>
        <v>0</v>
      </c>
      <c r="F10" s="147">
        <f t="shared" si="1"/>
        <v>0</v>
      </c>
      <c r="G10" s="147">
        <f t="shared" si="2"/>
        <v>0</v>
      </c>
      <c r="H10" s="148">
        <f t="shared" si="3"/>
        <v>0</v>
      </c>
      <c r="I10" s="149">
        <f t="shared" si="4"/>
        <v>0</v>
      </c>
      <c r="J10" s="150">
        <f t="shared" si="5"/>
        <v>0</v>
      </c>
      <c r="K10" s="151">
        <f t="shared" si="11"/>
        <v>0</v>
      </c>
      <c r="L10" s="152"/>
      <c r="M10" s="153">
        <f t="shared" si="6"/>
        <v>0</v>
      </c>
      <c r="N10" s="153">
        <f t="shared" si="7"/>
        <v>0</v>
      </c>
      <c r="O10" s="153">
        <f t="shared" si="8"/>
        <v>0</v>
      </c>
      <c r="P10" s="154">
        <f t="shared" si="9"/>
        <v>0</v>
      </c>
      <c r="Q10" s="154">
        <f t="shared" si="10"/>
        <v>0</v>
      </c>
      <c r="R10" s="108"/>
      <c r="S10" s="109"/>
      <c r="T10" s="110"/>
    </row>
    <row r="11" spans="1:20" s="111" customFormat="1" ht="15" x14ac:dyDescent="0.25">
      <c r="A11" s="155"/>
      <c r="B11" s="144">
        <f t="shared" si="12"/>
        <v>0</v>
      </c>
      <c r="C11" s="145">
        <v>0</v>
      </c>
      <c r="D11" s="145"/>
      <c r="E11" s="146">
        <f t="shared" si="0"/>
        <v>0</v>
      </c>
      <c r="F11" s="147">
        <f t="shared" si="1"/>
        <v>0</v>
      </c>
      <c r="G11" s="147">
        <f t="shared" si="2"/>
        <v>0</v>
      </c>
      <c r="H11" s="148">
        <f t="shared" si="3"/>
        <v>0</v>
      </c>
      <c r="I11" s="149">
        <f t="shared" si="4"/>
        <v>0</v>
      </c>
      <c r="J11" s="150">
        <f t="shared" si="5"/>
        <v>0</v>
      </c>
      <c r="K11" s="151">
        <f t="shared" si="11"/>
        <v>0</v>
      </c>
      <c r="L11" s="152"/>
      <c r="M11" s="153">
        <f t="shared" si="6"/>
        <v>0</v>
      </c>
      <c r="N11" s="153">
        <f t="shared" si="7"/>
        <v>0</v>
      </c>
      <c r="O11" s="153">
        <f t="shared" si="8"/>
        <v>0</v>
      </c>
      <c r="P11" s="154">
        <f t="shared" si="9"/>
        <v>0</v>
      </c>
      <c r="Q11" s="154">
        <f t="shared" si="10"/>
        <v>0</v>
      </c>
      <c r="R11" s="108"/>
      <c r="S11" s="109"/>
      <c r="T11" s="110"/>
    </row>
    <row r="12" spans="1:20" s="111" customFormat="1" ht="15" x14ac:dyDescent="0.25">
      <c r="A12" s="155"/>
      <c r="B12" s="144">
        <f t="shared" si="12"/>
        <v>0</v>
      </c>
      <c r="C12" s="145">
        <v>0</v>
      </c>
      <c r="D12" s="145"/>
      <c r="E12" s="146">
        <f t="shared" si="0"/>
        <v>0</v>
      </c>
      <c r="F12" s="147">
        <f t="shared" si="1"/>
        <v>0</v>
      </c>
      <c r="G12" s="147">
        <f t="shared" si="2"/>
        <v>0</v>
      </c>
      <c r="H12" s="148">
        <f t="shared" si="3"/>
        <v>0</v>
      </c>
      <c r="I12" s="149">
        <f t="shared" si="4"/>
        <v>0</v>
      </c>
      <c r="J12" s="150">
        <f t="shared" si="5"/>
        <v>0</v>
      </c>
      <c r="K12" s="151">
        <f t="shared" si="11"/>
        <v>0</v>
      </c>
      <c r="L12" s="152"/>
      <c r="M12" s="153">
        <f t="shared" si="6"/>
        <v>0</v>
      </c>
      <c r="N12" s="153">
        <f t="shared" si="7"/>
        <v>0</v>
      </c>
      <c r="O12" s="153">
        <f t="shared" si="8"/>
        <v>0</v>
      </c>
      <c r="P12" s="154">
        <f t="shared" si="9"/>
        <v>0</v>
      </c>
      <c r="Q12" s="154">
        <f t="shared" si="10"/>
        <v>0</v>
      </c>
      <c r="R12" s="108"/>
      <c r="S12" s="109"/>
      <c r="T12" s="110"/>
    </row>
    <row r="13" spans="1:20" s="111" customFormat="1" ht="15" x14ac:dyDescent="0.25">
      <c r="A13" s="155"/>
      <c r="B13" s="144">
        <f t="shared" si="12"/>
        <v>0</v>
      </c>
      <c r="C13" s="145">
        <v>0</v>
      </c>
      <c r="D13" s="145"/>
      <c r="E13" s="146">
        <f t="shared" si="0"/>
        <v>0</v>
      </c>
      <c r="F13" s="147">
        <f t="shared" si="1"/>
        <v>0</v>
      </c>
      <c r="G13" s="147">
        <f t="shared" si="2"/>
        <v>0</v>
      </c>
      <c r="H13" s="148">
        <f t="shared" si="3"/>
        <v>0</v>
      </c>
      <c r="I13" s="149">
        <f t="shared" si="4"/>
        <v>0</v>
      </c>
      <c r="J13" s="150">
        <f t="shared" si="5"/>
        <v>0</v>
      </c>
      <c r="K13" s="151">
        <f t="shared" si="11"/>
        <v>0</v>
      </c>
      <c r="L13" s="152"/>
      <c r="M13" s="153">
        <f t="shared" si="6"/>
        <v>0</v>
      </c>
      <c r="N13" s="153">
        <f t="shared" si="7"/>
        <v>0</v>
      </c>
      <c r="O13" s="153">
        <f t="shared" si="8"/>
        <v>0</v>
      </c>
      <c r="P13" s="154">
        <f t="shared" si="9"/>
        <v>0</v>
      </c>
      <c r="Q13" s="154">
        <f t="shared" si="10"/>
        <v>0</v>
      </c>
      <c r="R13" s="108"/>
      <c r="S13" s="109"/>
      <c r="T13" s="110"/>
    </row>
    <row r="14" spans="1:20" s="111" customFormat="1" ht="15" x14ac:dyDescent="0.25">
      <c r="A14" s="155"/>
      <c r="B14" s="144">
        <f t="shared" si="12"/>
        <v>0</v>
      </c>
      <c r="C14" s="145">
        <v>0</v>
      </c>
      <c r="D14" s="145"/>
      <c r="E14" s="146">
        <f t="shared" si="0"/>
        <v>0</v>
      </c>
      <c r="F14" s="147">
        <f t="shared" si="1"/>
        <v>0</v>
      </c>
      <c r="G14" s="147">
        <f t="shared" si="2"/>
        <v>0</v>
      </c>
      <c r="H14" s="148">
        <f t="shared" si="3"/>
        <v>0</v>
      </c>
      <c r="I14" s="149">
        <f t="shared" si="4"/>
        <v>0</v>
      </c>
      <c r="J14" s="150">
        <f t="shared" si="5"/>
        <v>0</v>
      </c>
      <c r="K14" s="151">
        <f t="shared" si="11"/>
        <v>0</v>
      </c>
      <c r="L14" s="152"/>
      <c r="M14" s="153">
        <f t="shared" si="6"/>
        <v>0</v>
      </c>
      <c r="N14" s="153">
        <f t="shared" si="7"/>
        <v>0</v>
      </c>
      <c r="O14" s="153">
        <f t="shared" si="8"/>
        <v>0</v>
      </c>
      <c r="P14" s="154">
        <f t="shared" si="9"/>
        <v>0</v>
      </c>
      <c r="Q14" s="154">
        <f t="shared" si="10"/>
        <v>0</v>
      </c>
      <c r="R14" s="108"/>
      <c r="S14" s="109"/>
      <c r="T14" s="110"/>
    </row>
    <row r="15" spans="1:20" s="111" customFormat="1" ht="15" x14ac:dyDescent="0.25">
      <c r="A15" s="155"/>
      <c r="B15" s="144">
        <f t="shared" si="12"/>
        <v>0</v>
      </c>
      <c r="C15" s="145">
        <v>0</v>
      </c>
      <c r="D15" s="145"/>
      <c r="E15" s="146">
        <f t="shared" si="0"/>
        <v>0</v>
      </c>
      <c r="F15" s="147">
        <f t="shared" si="1"/>
        <v>0</v>
      </c>
      <c r="G15" s="147">
        <f t="shared" si="2"/>
        <v>0</v>
      </c>
      <c r="H15" s="148">
        <f t="shared" si="3"/>
        <v>0</v>
      </c>
      <c r="I15" s="149">
        <f t="shared" si="4"/>
        <v>0</v>
      </c>
      <c r="J15" s="150">
        <f t="shared" si="5"/>
        <v>0</v>
      </c>
      <c r="K15" s="151">
        <f t="shared" si="11"/>
        <v>0</v>
      </c>
      <c r="L15" s="152"/>
      <c r="M15" s="153">
        <f t="shared" si="6"/>
        <v>0</v>
      </c>
      <c r="N15" s="153">
        <f t="shared" si="7"/>
        <v>0</v>
      </c>
      <c r="O15" s="153">
        <f t="shared" si="8"/>
        <v>0</v>
      </c>
      <c r="P15" s="154">
        <f t="shared" si="9"/>
        <v>0</v>
      </c>
      <c r="Q15" s="154">
        <f t="shared" si="10"/>
        <v>0</v>
      </c>
      <c r="R15" s="108"/>
      <c r="S15" s="109"/>
      <c r="T15" s="110"/>
    </row>
    <row r="16" spans="1:20" s="115" customFormat="1" ht="15" x14ac:dyDescent="0.25">
      <c r="A16" s="156"/>
      <c r="B16" s="156"/>
      <c r="C16" s="157">
        <f>SUM(C6:C15)</f>
        <v>0</v>
      </c>
      <c r="D16" s="156"/>
      <c r="E16" s="158">
        <f t="shared" ref="E16:K16" si="13">SUM(E6:E15)</f>
        <v>0</v>
      </c>
      <c r="F16" s="159">
        <f t="shared" si="13"/>
        <v>0</v>
      </c>
      <c r="G16" s="159">
        <f t="shared" si="13"/>
        <v>0</v>
      </c>
      <c r="H16" s="159">
        <f t="shared" si="13"/>
        <v>0</v>
      </c>
      <c r="I16" s="158">
        <f t="shared" si="13"/>
        <v>0</v>
      </c>
      <c r="J16" s="151">
        <f t="shared" si="13"/>
        <v>0</v>
      </c>
      <c r="K16" s="151">
        <f t="shared" si="13"/>
        <v>0</v>
      </c>
      <c r="L16" s="160"/>
      <c r="M16" s="157">
        <f>SUM(M6:M15)</f>
        <v>0</v>
      </c>
      <c r="N16" s="157">
        <f>SUM(N6:N15)</f>
        <v>0</v>
      </c>
      <c r="O16" s="157">
        <f>SUM(O6:O15)</f>
        <v>0</v>
      </c>
      <c r="P16" s="157">
        <f>SUM(P6:P15)</f>
        <v>0</v>
      </c>
      <c r="Q16" s="157">
        <f>SUM(Q6:Q15)</f>
        <v>0</v>
      </c>
      <c r="R16" s="112"/>
      <c r="S16" s="113"/>
      <c r="T16" s="114"/>
    </row>
    <row r="17" spans="1:15" x14ac:dyDescent="0.25">
      <c r="C17" s="162"/>
      <c r="D17" s="163"/>
      <c r="E17" s="164" t="s">
        <v>594</v>
      </c>
      <c r="F17" s="165">
        <f>'Research Plan'!C20</f>
        <v>0.307</v>
      </c>
      <c r="G17" s="166">
        <f>'Research Plan'!D20</f>
        <v>0.315</v>
      </c>
      <c r="H17" s="166">
        <v>0.02</v>
      </c>
      <c r="I17" s="167"/>
      <c r="K17" s="168"/>
      <c r="L17" s="169"/>
      <c r="N17" s="170"/>
      <c r="O17" s="170"/>
    </row>
    <row r="18" spans="1:15" x14ac:dyDescent="0.25">
      <c r="C18" s="163"/>
      <c r="G18" s="171"/>
      <c r="M18" s="173"/>
    </row>
    <row r="19" spans="1:15" ht="16.5" thickBot="1" x14ac:dyDescent="0.3">
      <c r="D19" s="168"/>
    </row>
    <row r="20" spans="1:15" x14ac:dyDescent="0.25">
      <c r="A20" s="174" t="s">
        <v>595</v>
      </c>
      <c r="B20" s="175">
        <f>SUM(F16:H16)</f>
        <v>0</v>
      </c>
      <c r="D20" s="168"/>
      <c r="F20" s="168"/>
      <c r="M20" s="173"/>
    </row>
    <row r="21" spans="1:15" x14ac:dyDescent="0.25">
      <c r="A21" s="176" t="s">
        <v>596</v>
      </c>
      <c r="B21" s="177">
        <f>SUM(I16:J16)</f>
        <v>0</v>
      </c>
      <c r="C21" s="168"/>
      <c r="D21" s="168"/>
      <c r="F21" s="168"/>
    </row>
    <row r="22" spans="1:15" ht="16.5" thickBot="1" x14ac:dyDescent="0.3">
      <c r="A22" s="178" t="s">
        <v>597</v>
      </c>
      <c r="B22" s="179">
        <f>SUM(B20:B21)</f>
        <v>0</v>
      </c>
      <c r="K22" s="168"/>
    </row>
    <row r="23" spans="1:15" x14ac:dyDescent="0.25">
      <c r="K23" s="168"/>
    </row>
  </sheetData>
  <mergeCells count="6">
    <mergeCell ref="A1:Q1"/>
    <mergeCell ref="A2:H2"/>
    <mergeCell ref="J2:K2"/>
    <mergeCell ref="M2:Q3"/>
    <mergeCell ref="A3:H3"/>
    <mergeCell ref="J3:K3"/>
  </mergeCells>
  <dataValidations count="1">
    <dataValidation type="list" allowBlank="1" showInputMessage="1" showErrorMessage="1" sqref="D6:D15" xr:uid="{66D8B02B-AEDB-4EA2-A24A-860B51FB106A}">
      <formula1>$S$4:$S$5</formula1>
    </dataValidation>
  </dataValidations>
  <pageMargins left="0.75" right="0.75" top="1" bottom="1" header="0.5" footer="0.5"/>
  <pageSetup scale="60" orientation="landscape" r:id="rId1"/>
  <headerFooter alignWithMargins="0"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129B-BD01-4A00-8FFB-99A1B05C8E4E}">
  <sheetPr>
    <tabColor theme="5" tint="-0.249977111117893"/>
    <pageSetUpPr fitToPage="1"/>
  </sheetPr>
  <dimension ref="A1:U23"/>
  <sheetViews>
    <sheetView zoomScale="90" zoomScaleNormal="90" workbookViewId="0">
      <selection activeCell="U9" sqref="U9"/>
    </sheetView>
  </sheetViews>
  <sheetFormatPr defaultColWidth="9.140625" defaultRowHeight="15.75" x14ac:dyDescent="0.25"/>
  <cols>
    <col min="1" max="1" width="28.28515625" style="161" customWidth="1"/>
    <col min="2" max="2" width="14.85546875" style="161" customWidth="1"/>
    <col min="3" max="3" width="9.7109375" style="161" bestFit="1" customWidth="1"/>
    <col min="4" max="4" width="9.140625" style="161" customWidth="1"/>
    <col min="5" max="5" width="12" style="161" customWidth="1"/>
    <col min="6" max="6" width="13.28515625" style="161" customWidth="1"/>
    <col min="7" max="7" width="11.5703125" style="161" customWidth="1"/>
    <col min="8" max="9" width="11.140625" style="161" customWidth="1"/>
    <col min="10" max="10" width="10.5703125" style="161" customWidth="1"/>
    <col min="11" max="11" width="11" style="161" bestFit="1" customWidth="1"/>
    <col min="12" max="12" width="1.7109375" style="172" customWidth="1"/>
    <col min="13" max="14" width="10.85546875" style="161" customWidth="1"/>
    <col min="15" max="15" width="15.28515625" style="161" customWidth="1"/>
    <col min="16" max="17" width="9.140625" style="161" bestFit="1" customWidth="1"/>
    <col min="18" max="18" width="6.28515625" style="161" bestFit="1" customWidth="1"/>
    <col min="19" max="19" width="0" style="180" hidden="1" customWidth="1"/>
    <col min="20" max="20" width="9.85546875" style="161" bestFit="1" customWidth="1"/>
    <col min="21" max="21" width="9.140625" style="161"/>
    <col min="22" max="16384" width="9.140625" style="104"/>
  </cols>
  <sheetData>
    <row r="1" spans="1:21" ht="42" customHeight="1" x14ac:dyDescent="0.25">
      <c r="A1" s="625" t="s">
        <v>558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</row>
    <row r="2" spans="1:21" ht="18" customHeight="1" x14ac:dyDescent="0.3">
      <c r="A2" s="626" t="s">
        <v>559</v>
      </c>
      <c r="B2" s="626"/>
      <c r="C2" s="626"/>
      <c r="D2" s="626"/>
      <c r="E2" s="626"/>
      <c r="F2" s="626"/>
      <c r="G2" s="626"/>
      <c r="H2" s="626"/>
      <c r="I2" s="135"/>
      <c r="J2" s="627">
        <f>Assumptions!$D$21</f>
        <v>212100</v>
      </c>
      <c r="K2" s="627"/>
      <c r="L2" s="136"/>
      <c r="M2" s="628" t="s">
        <v>560</v>
      </c>
      <c r="N2" s="628"/>
      <c r="O2" s="628"/>
      <c r="P2" s="628"/>
      <c r="Q2" s="628"/>
    </row>
    <row r="3" spans="1:21" ht="18.75" x14ac:dyDescent="0.3">
      <c r="A3" s="626" t="s">
        <v>561</v>
      </c>
      <c r="B3" s="626"/>
      <c r="C3" s="626"/>
      <c r="D3" s="626"/>
      <c r="E3" s="626"/>
      <c r="F3" s="626"/>
      <c r="G3" s="626"/>
      <c r="H3" s="626"/>
      <c r="I3" s="135"/>
      <c r="J3" s="627">
        <f>Assumptions!$D$18</f>
        <v>330000</v>
      </c>
      <c r="K3" s="627"/>
      <c r="L3" s="136"/>
      <c r="M3" s="628"/>
      <c r="N3" s="628"/>
      <c r="O3" s="628"/>
      <c r="P3" s="628"/>
      <c r="Q3" s="628"/>
    </row>
    <row r="4" spans="1:21" s="106" customFormat="1" ht="49.5" customHeight="1" x14ac:dyDescent="0.25">
      <c r="A4" s="137"/>
      <c r="B4" s="137" t="s">
        <v>562</v>
      </c>
      <c r="C4" s="137" t="s">
        <v>563</v>
      </c>
      <c r="D4" s="137" t="s">
        <v>564</v>
      </c>
      <c r="E4" s="137" t="s">
        <v>565</v>
      </c>
      <c r="F4" s="137" t="s">
        <v>566</v>
      </c>
      <c r="G4" s="137" t="s">
        <v>567</v>
      </c>
      <c r="H4" s="137" t="s">
        <v>568</v>
      </c>
      <c r="I4" s="137" t="s">
        <v>569</v>
      </c>
      <c r="J4" s="137" t="s">
        <v>570</v>
      </c>
      <c r="K4" s="137" t="s">
        <v>571</v>
      </c>
      <c r="L4" s="136"/>
      <c r="M4" s="137" t="s">
        <v>572</v>
      </c>
      <c r="N4" s="137" t="s">
        <v>573</v>
      </c>
      <c r="O4" s="138" t="s">
        <v>574</v>
      </c>
      <c r="P4" s="138" t="s">
        <v>575</v>
      </c>
      <c r="Q4" s="138" t="s">
        <v>576</v>
      </c>
      <c r="R4" s="181"/>
      <c r="S4" s="182" t="s">
        <v>577</v>
      </c>
      <c r="T4" s="181"/>
      <c r="U4" s="181"/>
    </row>
    <row r="5" spans="1:21" s="106" customFormat="1" ht="41.25" x14ac:dyDescent="0.3">
      <c r="A5" s="139" t="s">
        <v>578</v>
      </c>
      <c r="B5" s="137" t="s">
        <v>579</v>
      </c>
      <c r="C5" s="137" t="s">
        <v>580</v>
      </c>
      <c r="D5" s="137" t="s">
        <v>581</v>
      </c>
      <c r="E5" s="137" t="s">
        <v>582</v>
      </c>
      <c r="F5" s="140" t="s">
        <v>583</v>
      </c>
      <c r="G5" s="140" t="s">
        <v>584</v>
      </c>
      <c r="H5" s="140" t="s">
        <v>585</v>
      </c>
      <c r="I5" s="137" t="s">
        <v>586</v>
      </c>
      <c r="J5" s="137" t="s">
        <v>587</v>
      </c>
      <c r="K5" s="137" t="s">
        <v>588</v>
      </c>
      <c r="L5" s="141"/>
      <c r="M5" s="142" t="s">
        <v>589</v>
      </c>
      <c r="N5" s="142" t="s">
        <v>590</v>
      </c>
      <c r="O5" s="142" t="s">
        <v>591</v>
      </c>
      <c r="P5" s="137" t="s">
        <v>26</v>
      </c>
      <c r="Q5" s="137" t="s">
        <v>592</v>
      </c>
      <c r="R5" s="181"/>
      <c r="S5" s="182" t="s">
        <v>575</v>
      </c>
      <c r="T5" s="181"/>
      <c r="U5" s="181"/>
    </row>
    <row r="6" spans="1:21" s="111" customFormat="1" ht="15" x14ac:dyDescent="0.25">
      <c r="A6" s="143" t="s">
        <v>593</v>
      </c>
      <c r="B6" s="144">
        <v>1000000</v>
      </c>
      <c r="C6" s="145">
        <v>0.1</v>
      </c>
      <c r="D6" s="145" t="s">
        <v>577</v>
      </c>
      <c r="E6" s="146">
        <f t="shared" ref="E6:E15" si="0">B6*C6</f>
        <v>100000</v>
      </c>
      <c r="F6" s="147">
        <f t="shared" ref="F6:F15" si="1">IF(D6="Y",$J$2*C6,E6-H6)</f>
        <v>21210</v>
      </c>
      <c r="G6" s="147">
        <f t="shared" ref="G6:G15" si="2">IF(D6="y",E6-F6-H6,0)</f>
        <v>11790</v>
      </c>
      <c r="H6" s="148">
        <f t="shared" ref="H6:H15" si="3">IF(B6&gt;=$J$3,((B6-$J$3)*(C6)),0)</f>
        <v>67000</v>
      </c>
      <c r="I6" s="149">
        <f t="shared" ref="I6:I15" si="4">F6*$F$17</f>
        <v>6511.47</v>
      </c>
      <c r="J6" s="150">
        <f t="shared" ref="J6:J15" si="5">(H6*$H$17)+(G6*$G$17)</f>
        <v>5053.8500000000004</v>
      </c>
      <c r="K6" s="151">
        <f>G6+H6+J6</f>
        <v>83843.850000000006</v>
      </c>
      <c r="L6" s="152"/>
      <c r="M6" s="153">
        <f t="shared" ref="M6:M15" si="6">IFERROR(F6/B6,0)</f>
        <v>2.121E-2</v>
      </c>
      <c r="N6" s="153">
        <f t="shared" ref="N6:N15" si="7">IFERROR(G6/B6,0)</f>
        <v>1.179E-2</v>
      </c>
      <c r="O6" s="153">
        <f t="shared" ref="O6:O15" si="8">IFERROR(H6/B6,0)</f>
        <v>6.7000000000000004E-2</v>
      </c>
      <c r="P6" s="154">
        <f t="shared" ref="P6:P15" si="9">SUM(M6:O6)</f>
        <v>0.1</v>
      </c>
      <c r="Q6" s="154">
        <f t="shared" ref="Q6:Q15" si="10">C6-P6</f>
        <v>0</v>
      </c>
      <c r="R6" s="183"/>
      <c r="S6" s="184"/>
      <c r="T6" s="185"/>
      <c r="U6" s="186"/>
    </row>
    <row r="7" spans="1:21" s="111" customFormat="1" ht="15" x14ac:dyDescent="0.25">
      <c r="A7" s="155"/>
      <c r="B7" s="144">
        <f>B6</f>
        <v>1000000</v>
      </c>
      <c r="C7" s="145">
        <v>0.1</v>
      </c>
      <c r="D7" s="145" t="s">
        <v>575</v>
      </c>
      <c r="E7" s="146">
        <f t="shared" si="0"/>
        <v>100000</v>
      </c>
      <c r="F7" s="147">
        <f t="shared" si="1"/>
        <v>33000</v>
      </c>
      <c r="G7" s="147">
        <f t="shared" si="2"/>
        <v>0</v>
      </c>
      <c r="H7" s="148">
        <f t="shared" si="3"/>
        <v>67000</v>
      </c>
      <c r="I7" s="149">
        <f t="shared" si="4"/>
        <v>10131</v>
      </c>
      <c r="J7" s="150">
        <f t="shared" si="5"/>
        <v>1340</v>
      </c>
      <c r="K7" s="151">
        <f t="shared" ref="K7:K15" si="11">G7+H7+J7</f>
        <v>68340</v>
      </c>
      <c r="L7" s="152"/>
      <c r="M7" s="153">
        <f t="shared" si="6"/>
        <v>3.3000000000000002E-2</v>
      </c>
      <c r="N7" s="153">
        <f t="shared" si="7"/>
        <v>0</v>
      </c>
      <c r="O7" s="153">
        <f t="shared" si="8"/>
        <v>6.7000000000000004E-2</v>
      </c>
      <c r="P7" s="154">
        <f t="shared" si="9"/>
        <v>0.1</v>
      </c>
      <c r="Q7" s="154">
        <f t="shared" si="10"/>
        <v>0</v>
      </c>
      <c r="R7" s="183"/>
      <c r="S7" s="184"/>
      <c r="T7" s="185"/>
      <c r="U7" s="186"/>
    </row>
    <row r="8" spans="1:21" s="111" customFormat="1" ht="15" x14ac:dyDescent="0.25">
      <c r="A8" s="155"/>
      <c r="B8" s="144">
        <f t="shared" ref="B8:B15" si="12">B7</f>
        <v>1000000</v>
      </c>
      <c r="C8" s="145">
        <v>0.15</v>
      </c>
      <c r="D8" s="145" t="s">
        <v>577</v>
      </c>
      <c r="E8" s="146">
        <f t="shared" si="0"/>
        <v>150000</v>
      </c>
      <c r="F8" s="147">
        <f t="shared" si="1"/>
        <v>31815</v>
      </c>
      <c r="G8" s="147">
        <f t="shared" si="2"/>
        <v>17685</v>
      </c>
      <c r="H8" s="148">
        <f t="shared" si="3"/>
        <v>100500</v>
      </c>
      <c r="I8" s="149">
        <f t="shared" si="4"/>
        <v>9767.2049999999999</v>
      </c>
      <c r="J8" s="150">
        <f t="shared" si="5"/>
        <v>7580.7749999999996</v>
      </c>
      <c r="K8" s="151">
        <f t="shared" si="11"/>
        <v>125765.77499999999</v>
      </c>
      <c r="L8" s="152"/>
      <c r="M8" s="153">
        <f t="shared" si="6"/>
        <v>3.1815000000000003E-2</v>
      </c>
      <c r="N8" s="153">
        <f t="shared" si="7"/>
        <v>1.7684999999999999E-2</v>
      </c>
      <c r="O8" s="153">
        <f t="shared" si="8"/>
        <v>0.10050000000000001</v>
      </c>
      <c r="P8" s="154">
        <f t="shared" si="9"/>
        <v>0.15000000000000002</v>
      </c>
      <c r="Q8" s="154">
        <f t="shared" si="10"/>
        <v>0</v>
      </c>
      <c r="R8" s="183"/>
      <c r="S8" s="184"/>
      <c r="T8" s="185"/>
      <c r="U8" s="186"/>
    </row>
    <row r="9" spans="1:21" s="111" customFormat="1" ht="15" x14ac:dyDescent="0.25">
      <c r="A9" s="155"/>
      <c r="B9" s="144">
        <f t="shared" si="12"/>
        <v>1000000</v>
      </c>
      <c r="C9" s="145">
        <v>0.16</v>
      </c>
      <c r="D9" s="145" t="s">
        <v>575</v>
      </c>
      <c r="E9" s="146">
        <f t="shared" si="0"/>
        <v>160000</v>
      </c>
      <c r="F9" s="147">
        <f t="shared" si="1"/>
        <v>52800</v>
      </c>
      <c r="G9" s="147">
        <f t="shared" si="2"/>
        <v>0</v>
      </c>
      <c r="H9" s="148">
        <f t="shared" si="3"/>
        <v>107200</v>
      </c>
      <c r="I9" s="149">
        <f t="shared" si="4"/>
        <v>16209.6</v>
      </c>
      <c r="J9" s="150">
        <f t="shared" si="5"/>
        <v>2144</v>
      </c>
      <c r="K9" s="151">
        <f t="shared" si="11"/>
        <v>109344</v>
      </c>
      <c r="L9" s="152"/>
      <c r="M9" s="153">
        <f t="shared" si="6"/>
        <v>5.28E-2</v>
      </c>
      <c r="N9" s="153">
        <f t="shared" si="7"/>
        <v>0</v>
      </c>
      <c r="O9" s="153">
        <f t="shared" si="8"/>
        <v>0.1072</v>
      </c>
      <c r="P9" s="154">
        <f t="shared" si="9"/>
        <v>0.16</v>
      </c>
      <c r="Q9" s="154">
        <f t="shared" si="10"/>
        <v>0</v>
      </c>
      <c r="R9" s="183"/>
      <c r="S9" s="184"/>
      <c r="T9" s="185"/>
      <c r="U9" s="186"/>
    </row>
    <row r="10" spans="1:21" s="111" customFormat="1" ht="15" x14ac:dyDescent="0.25">
      <c r="A10" s="155"/>
      <c r="B10" s="144">
        <f t="shared" si="12"/>
        <v>1000000</v>
      </c>
      <c r="C10" s="145">
        <v>0.09</v>
      </c>
      <c r="D10" s="145" t="s">
        <v>575</v>
      </c>
      <c r="E10" s="146">
        <f t="shared" si="0"/>
        <v>90000</v>
      </c>
      <c r="F10" s="147">
        <f t="shared" si="1"/>
        <v>29700</v>
      </c>
      <c r="G10" s="147">
        <f t="shared" si="2"/>
        <v>0</v>
      </c>
      <c r="H10" s="148">
        <f t="shared" si="3"/>
        <v>60300</v>
      </c>
      <c r="I10" s="149">
        <f t="shared" si="4"/>
        <v>9117.9</v>
      </c>
      <c r="J10" s="150">
        <f t="shared" si="5"/>
        <v>1206</v>
      </c>
      <c r="K10" s="151">
        <f t="shared" si="11"/>
        <v>61506</v>
      </c>
      <c r="L10" s="152"/>
      <c r="M10" s="153">
        <f t="shared" si="6"/>
        <v>2.9700000000000001E-2</v>
      </c>
      <c r="N10" s="153">
        <f t="shared" si="7"/>
        <v>0</v>
      </c>
      <c r="O10" s="153">
        <f t="shared" si="8"/>
        <v>6.0299999999999999E-2</v>
      </c>
      <c r="P10" s="154">
        <f t="shared" si="9"/>
        <v>0.09</v>
      </c>
      <c r="Q10" s="154">
        <f t="shared" si="10"/>
        <v>0</v>
      </c>
      <c r="R10" s="183"/>
      <c r="S10" s="184"/>
      <c r="T10" s="185"/>
      <c r="U10" s="186"/>
    </row>
    <row r="11" spans="1:21" s="111" customFormat="1" ht="15" x14ac:dyDescent="0.25">
      <c r="A11" s="155"/>
      <c r="B11" s="144">
        <f t="shared" si="12"/>
        <v>1000000</v>
      </c>
      <c r="C11" s="145">
        <v>0.25</v>
      </c>
      <c r="D11" s="145" t="s">
        <v>577</v>
      </c>
      <c r="E11" s="146">
        <f t="shared" si="0"/>
        <v>250000</v>
      </c>
      <c r="F11" s="147">
        <f t="shared" si="1"/>
        <v>53025</v>
      </c>
      <c r="G11" s="147">
        <f t="shared" si="2"/>
        <v>29475</v>
      </c>
      <c r="H11" s="148">
        <f t="shared" si="3"/>
        <v>167500</v>
      </c>
      <c r="I11" s="149">
        <f t="shared" si="4"/>
        <v>16278.674999999999</v>
      </c>
      <c r="J11" s="150">
        <f t="shared" si="5"/>
        <v>12634.625</v>
      </c>
      <c r="K11" s="151">
        <f t="shared" si="11"/>
        <v>209609.625</v>
      </c>
      <c r="L11" s="152"/>
      <c r="M11" s="153">
        <f t="shared" si="6"/>
        <v>5.3025000000000003E-2</v>
      </c>
      <c r="N11" s="153">
        <f t="shared" si="7"/>
        <v>2.9475000000000001E-2</v>
      </c>
      <c r="O11" s="153">
        <f t="shared" si="8"/>
        <v>0.16750000000000001</v>
      </c>
      <c r="P11" s="154">
        <f t="shared" si="9"/>
        <v>0.25</v>
      </c>
      <c r="Q11" s="154">
        <f t="shared" si="10"/>
        <v>0</v>
      </c>
      <c r="R11" s="183"/>
      <c r="S11" s="184"/>
      <c r="T11" s="185"/>
      <c r="U11" s="186"/>
    </row>
    <row r="12" spans="1:21" s="111" customFormat="1" ht="15" x14ac:dyDescent="0.25">
      <c r="A12" s="155"/>
      <c r="B12" s="144">
        <f t="shared" si="12"/>
        <v>1000000</v>
      </c>
      <c r="C12" s="145">
        <v>0.05</v>
      </c>
      <c r="D12" s="145" t="s">
        <v>575</v>
      </c>
      <c r="E12" s="146">
        <f t="shared" si="0"/>
        <v>50000</v>
      </c>
      <c r="F12" s="147">
        <f t="shared" si="1"/>
        <v>16500</v>
      </c>
      <c r="G12" s="147">
        <f t="shared" si="2"/>
        <v>0</v>
      </c>
      <c r="H12" s="148">
        <f t="shared" si="3"/>
        <v>33500</v>
      </c>
      <c r="I12" s="149">
        <f t="shared" si="4"/>
        <v>5065.5</v>
      </c>
      <c r="J12" s="150">
        <f t="shared" si="5"/>
        <v>670</v>
      </c>
      <c r="K12" s="151">
        <f t="shared" si="11"/>
        <v>34170</v>
      </c>
      <c r="L12" s="152"/>
      <c r="M12" s="153">
        <f t="shared" si="6"/>
        <v>1.6500000000000001E-2</v>
      </c>
      <c r="N12" s="153">
        <f t="shared" si="7"/>
        <v>0</v>
      </c>
      <c r="O12" s="153">
        <f t="shared" si="8"/>
        <v>3.3500000000000002E-2</v>
      </c>
      <c r="P12" s="154">
        <f t="shared" si="9"/>
        <v>0.05</v>
      </c>
      <c r="Q12" s="154">
        <f t="shared" si="10"/>
        <v>0</v>
      </c>
      <c r="R12" s="183"/>
      <c r="S12" s="184"/>
      <c r="T12" s="185"/>
      <c r="U12" s="186"/>
    </row>
    <row r="13" spans="1:21" s="111" customFormat="1" ht="15" x14ac:dyDescent="0.25">
      <c r="A13" s="155"/>
      <c r="B13" s="144">
        <f t="shared" si="12"/>
        <v>1000000</v>
      </c>
      <c r="C13" s="145">
        <v>7.0000000000000007E-2</v>
      </c>
      <c r="D13" s="145" t="s">
        <v>575</v>
      </c>
      <c r="E13" s="146">
        <f t="shared" si="0"/>
        <v>70000</v>
      </c>
      <c r="F13" s="147">
        <f t="shared" si="1"/>
        <v>23099.999999999993</v>
      </c>
      <c r="G13" s="147">
        <f t="shared" si="2"/>
        <v>0</v>
      </c>
      <c r="H13" s="148">
        <f t="shared" si="3"/>
        <v>46900.000000000007</v>
      </c>
      <c r="I13" s="149">
        <f t="shared" si="4"/>
        <v>7091.699999999998</v>
      </c>
      <c r="J13" s="150">
        <f t="shared" si="5"/>
        <v>938.00000000000011</v>
      </c>
      <c r="K13" s="151">
        <f t="shared" si="11"/>
        <v>47838.000000000007</v>
      </c>
      <c r="L13" s="152"/>
      <c r="M13" s="153">
        <f t="shared" si="6"/>
        <v>2.3099999999999992E-2</v>
      </c>
      <c r="N13" s="153">
        <f t="shared" si="7"/>
        <v>0</v>
      </c>
      <c r="O13" s="153">
        <f t="shared" si="8"/>
        <v>4.6900000000000004E-2</v>
      </c>
      <c r="P13" s="154">
        <f t="shared" si="9"/>
        <v>6.9999999999999993E-2</v>
      </c>
      <c r="Q13" s="154">
        <f t="shared" si="10"/>
        <v>0</v>
      </c>
      <c r="R13" s="183"/>
      <c r="S13" s="184"/>
      <c r="T13" s="185"/>
      <c r="U13" s="186"/>
    </row>
    <row r="14" spans="1:21" s="111" customFormat="1" ht="15" x14ac:dyDescent="0.25">
      <c r="A14" s="155"/>
      <c r="B14" s="144">
        <f t="shared" si="12"/>
        <v>1000000</v>
      </c>
      <c r="C14" s="145">
        <v>0.01</v>
      </c>
      <c r="D14" s="145" t="s">
        <v>577</v>
      </c>
      <c r="E14" s="146">
        <f t="shared" si="0"/>
        <v>10000</v>
      </c>
      <c r="F14" s="147">
        <f t="shared" si="1"/>
        <v>2121</v>
      </c>
      <c r="G14" s="147">
        <f t="shared" si="2"/>
        <v>1179</v>
      </c>
      <c r="H14" s="148">
        <f t="shared" si="3"/>
        <v>6700</v>
      </c>
      <c r="I14" s="149">
        <f t="shared" si="4"/>
        <v>651.14699999999993</v>
      </c>
      <c r="J14" s="150">
        <f t="shared" si="5"/>
        <v>505.38499999999999</v>
      </c>
      <c r="K14" s="151">
        <f t="shared" si="11"/>
        <v>8384.3850000000002</v>
      </c>
      <c r="L14" s="152"/>
      <c r="M14" s="153">
        <f t="shared" si="6"/>
        <v>2.1210000000000001E-3</v>
      </c>
      <c r="N14" s="153">
        <f t="shared" si="7"/>
        <v>1.1789999999999999E-3</v>
      </c>
      <c r="O14" s="153">
        <f t="shared" si="8"/>
        <v>6.7000000000000002E-3</v>
      </c>
      <c r="P14" s="154">
        <f t="shared" si="9"/>
        <v>0.01</v>
      </c>
      <c r="Q14" s="154">
        <f t="shared" si="10"/>
        <v>0</v>
      </c>
      <c r="R14" s="183"/>
      <c r="S14" s="184"/>
      <c r="T14" s="185"/>
      <c r="U14" s="186"/>
    </row>
    <row r="15" spans="1:21" s="111" customFormat="1" ht="15" x14ac:dyDescent="0.25">
      <c r="A15" s="155"/>
      <c r="B15" s="144">
        <f t="shared" si="12"/>
        <v>1000000</v>
      </c>
      <c r="C15" s="145">
        <v>0.02</v>
      </c>
      <c r="D15" s="145" t="s">
        <v>575</v>
      </c>
      <c r="E15" s="146">
        <f t="shared" si="0"/>
        <v>20000</v>
      </c>
      <c r="F15" s="147">
        <f t="shared" si="1"/>
        <v>6600</v>
      </c>
      <c r="G15" s="147">
        <f t="shared" si="2"/>
        <v>0</v>
      </c>
      <c r="H15" s="148">
        <f t="shared" si="3"/>
        <v>13400</v>
      </c>
      <c r="I15" s="149">
        <f t="shared" si="4"/>
        <v>2026.2</v>
      </c>
      <c r="J15" s="150">
        <f t="shared" si="5"/>
        <v>268</v>
      </c>
      <c r="K15" s="151">
        <f t="shared" si="11"/>
        <v>13668</v>
      </c>
      <c r="L15" s="152"/>
      <c r="M15" s="153">
        <f t="shared" si="6"/>
        <v>6.6E-3</v>
      </c>
      <c r="N15" s="153">
        <f t="shared" si="7"/>
        <v>0</v>
      </c>
      <c r="O15" s="153">
        <f t="shared" si="8"/>
        <v>1.34E-2</v>
      </c>
      <c r="P15" s="154">
        <f t="shared" si="9"/>
        <v>0.02</v>
      </c>
      <c r="Q15" s="154">
        <f t="shared" si="10"/>
        <v>0</v>
      </c>
      <c r="R15" s="183"/>
      <c r="S15" s="184"/>
      <c r="T15" s="185"/>
      <c r="U15" s="186"/>
    </row>
    <row r="16" spans="1:21" s="115" customFormat="1" ht="15" x14ac:dyDescent="0.25">
      <c r="A16" s="156"/>
      <c r="B16" s="156"/>
      <c r="C16" s="157">
        <f>SUM(C6:C15)</f>
        <v>1</v>
      </c>
      <c r="D16" s="156"/>
      <c r="E16" s="158">
        <f t="shared" ref="E16:K16" si="13">SUM(E6:E15)</f>
        <v>1000000</v>
      </c>
      <c r="F16" s="159">
        <f t="shared" si="13"/>
        <v>269871</v>
      </c>
      <c r="G16" s="159">
        <f t="shared" si="13"/>
        <v>60129</v>
      </c>
      <c r="H16" s="159">
        <f t="shared" si="13"/>
        <v>670000</v>
      </c>
      <c r="I16" s="158">
        <f t="shared" si="13"/>
        <v>82850.396999999997</v>
      </c>
      <c r="J16" s="151">
        <f t="shared" si="13"/>
        <v>32340.634999999998</v>
      </c>
      <c r="K16" s="151">
        <f t="shared" si="13"/>
        <v>762469.63500000001</v>
      </c>
      <c r="L16" s="160"/>
      <c r="M16" s="157">
        <f>SUM(M6:M15)</f>
        <v>0.26987100000000003</v>
      </c>
      <c r="N16" s="157">
        <f>SUM(N6:N15)</f>
        <v>6.0129000000000002E-2</v>
      </c>
      <c r="O16" s="157">
        <f>SUM(O6:O15)</f>
        <v>0.67</v>
      </c>
      <c r="P16" s="157">
        <f>SUM(P6:P15)</f>
        <v>1</v>
      </c>
      <c r="Q16" s="157">
        <f>SUM(Q6:Q15)</f>
        <v>0</v>
      </c>
      <c r="R16" s="187"/>
      <c r="S16" s="188"/>
      <c r="T16" s="189"/>
      <c r="U16" s="190"/>
    </row>
    <row r="17" spans="1:15" x14ac:dyDescent="0.25">
      <c r="C17" s="162"/>
      <c r="D17" s="163"/>
      <c r="E17" s="164" t="s">
        <v>594</v>
      </c>
      <c r="F17" s="165">
        <f>'Research Plan'!C20</f>
        <v>0.307</v>
      </c>
      <c r="G17" s="166">
        <f>'Research Plan'!D20</f>
        <v>0.315</v>
      </c>
      <c r="H17" s="166">
        <v>0.02</v>
      </c>
      <c r="I17" s="167"/>
      <c r="K17" s="168"/>
      <c r="L17" s="169"/>
      <c r="N17" s="170"/>
      <c r="O17" s="170"/>
    </row>
    <row r="18" spans="1:15" x14ac:dyDescent="0.25">
      <c r="C18" s="163"/>
      <c r="G18" s="171"/>
      <c r="M18" s="173"/>
    </row>
    <row r="19" spans="1:15" ht="16.5" thickBot="1" x14ac:dyDescent="0.3">
      <c r="D19" s="168"/>
    </row>
    <row r="20" spans="1:15" x14ac:dyDescent="0.25">
      <c r="A20" s="174" t="s">
        <v>595</v>
      </c>
      <c r="B20" s="175">
        <f>SUM(F16:H16)</f>
        <v>1000000</v>
      </c>
      <c r="D20" s="168"/>
      <c r="F20" s="168"/>
      <c r="M20" s="173"/>
    </row>
    <row r="21" spans="1:15" x14ac:dyDescent="0.25">
      <c r="A21" s="176" t="s">
        <v>596</v>
      </c>
      <c r="B21" s="177">
        <f>SUM(I16:J16)</f>
        <v>115191.03199999999</v>
      </c>
      <c r="C21" s="168"/>
      <c r="D21" s="168"/>
      <c r="F21" s="168"/>
    </row>
    <row r="22" spans="1:15" ht="16.5" thickBot="1" x14ac:dyDescent="0.3">
      <c r="A22" s="178" t="s">
        <v>597</v>
      </c>
      <c r="B22" s="179">
        <f>SUM(B20:B21)</f>
        <v>1115191.0319999999</v>
      </c>
      <c r="K22" s="168"/>
    </row>
    <row r="23" spans="1:15" x14ac:dyDescent="0.25">
      <c r="K23" s="168"/>
    </row>
  </sheetData>
  <mergeCells count="6">
    <mergeCell ref="A1:Q1"/>
    <mergeCell ref="A2:H2"/>
    <mergeCell ref="J2:K2"/>
    <mergeCell ref="M2:Q3"/>
    <mergeCell ref="A3:H3"/>
    <mergeCell ref="J3:K3"/>
  </mergeCells>
  <dataValidations count="1">
    <dataValidation type="list" allowBlank="1" showInputMessage="1" showErrorMessage="1" sqref="D6:D15" xr:uid="{413F6880-4B03-47FE-A72C-935784C1621F}">
      <formula1>$S$4:$S$5</formula1>
    </dataValidation>
  </dataValidations>
  <pageMargins left="0.75" right="0.75" top="1" bottom="1" header="0.5" footer="0.5"/>
  <pageSetup scale="60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Cover Sheet</vt:lpstr>
      <vt:lpstr>RFP Summary</vt:lpstr>
      <vt:lpstr>YSM-YM Clinical Plan</vt:lpstr>
      <vt:lpstr>AF Summary Template</vt:lpstr>
      <vt:lpstr>Salary Build Sheet (Clinical)</vt:lpstr>
      <vt:lpstr>Non-Salary Build (Clinical)</vt:lpstr>
      <vt:lpstr>Research Plan</vt:lpstr>
      <vt:lpstr>OTC Calculation FY22 - OPTIONAL</vt:lpstr>
      <vt:lpstr>OTC Calculation FY22 EXAMPLE</vt:lpstr>
      <vt:lpstr>Assumptions</vt:lpstr>
      <vt:lpstr>Contractual Calculator</vt:lpstr>
      <vt:lpstr>I&amp;A Calculator</vt:lpstr>
      <vt:lpstr>Definitions </vt:lpstr>
      <vt:lpstr>Version Notes</vt:lpstr>
      <vt:lpstr>Research Depository</vt:lpstr>
      <vt:lpstr>Depository for MD</vt:lpstr>
      <vt:lpstr>Depository1</vt:lpstr>
      <vt:lpstr>clinical</vt:lpstr>
      <vt:lpstr>FYstart</vt:lpstr>
      <vt:lpstr>name</vt:lpstr>
      <vt:lpstr>names</vt:lpstr>
      <vt:lpstr>'AF Summary Template'!Print_Area</vt:lpstr>
      <vt:lpstr>'Cover Sheet'!Print_Area</vt:lpstr>
      <vt:lpstr>'Non-Salary Build (Clinical)'!Print_Area</vt:lpstr>
      <vt:lpstr>'Research Plan'!Print_Area</vt:lpstr>
      <vt:lpstr>'RFP Summary'!Print_Area</vt:lpstr>
      <vt:lpstr>'Salary Build Sheet (Clinical)'!Print_Area</vt:lpstr>
      <vt:lpstr>'YSM-YM Clinical Plan'!Print_Area</vt:lpstr>
      <vt:lpstr>volumes</vt:lpstr>
      <vt:lpstr>yesyes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Onnembo, Nick</dc:creator>
  <cp:lastModifiedBy>Gomer, Timothy</cp:lastModifiedBy>
  <cp:lastPrinted>2022-10-05T14:09:57Z</cp:lastPrinted>
  <dcterms:created xsi:type="dcterms:W3CDTF">2016-07-12T19:29:05Z</dcterms:created>
  <dcterms:modified xsi:type="dcterms:W3CDTF">2023-02-22T19:21:15Z</dcterms:modified>
</cp:coreProperties>
</file>